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7470" tabRatio="734"/>
  </bookViews>
  <sheets>
    <sheet name="Extraction Effectifs 20180831" sheetId="12" r:id="rId1"/>
    <sheet name="Calcul Effectifs Référence" sheetId="5" r:id="rId2"/>
    <sheet name="Places France jeunes" sheetId="14" r:id="rId3"/>
    <sheet name="Calcul Places disponibles" sheetId="7" r:id="rId4"/>
    <sheet name="Calcul par comité" sheetId="3" r:id="rId5"/>
    <sheet name="Synthèse" sheetId="6" r:id="rId6"/>
  </sheets>
  <calcPr calcId="162913"/>
</workbook>
</file>

<file path=xl/calcChain.xml><?xml version="1.0" encoding="utf-8"?>
<calcChain xmlns="http://schemas.openxmlformats.org/spreadsheetml/2006/main">
  <c r="R70" i="3" l="1"/>
  <c r="R69" i="3"/>
  <c r="R68" i="3"/>
  <c r="R67" i="3"/>
  <c r="Q65" i="3"/>
  <c r="S71" i="3" s="1"/>
  <c r="R63" i="3"/>
  <c r="R62" i="3"/>
  <c r="R61" i="3"/>
  <c r="R60" i="3"/>
  <c r="Q58" i="3"/>
  <c r="S64" i="3" s="1"/>
  <c r="R56" i="3"/>
  <c r="R55" i="3"/>
  <c r="R54" i="3"/>
  <c r="R53" i="3"/>
  <c r="Q51" i="3"/>
  <c r="S57" i="3" s="1"/>
  <c r="R49" i="3"/>
  <c r="R48" i="3"/>
  <c r="R47" i="3"/>
  <c r="R46" i="3"/>
  <c r="Q44" i="3"/>
  <c r="S50" i="3" s="1"/>
  <c r="R42" i="3"/>
  <c r="R41" i="3"/>
  <c r="R40" i="3"/>
  <c r="R39" i="3"/>
  <c r="Q37" i="3"/>
  <c r="S43" i="3" s="1"/>
  <c r="R35" i="3"/>
  <c r="R34" i="3"/>
  <c r="R33" i="3"/>
  <c r="R32" i="3"/>
  <c r="Q30" i="3"/>
  <c r="S36" i="3" s="1"/>
  <c r="R28" i="3"/>
  <c r="R27" i="3"/>
  <c r="R26" i="3"/>
  <c r="R25" i="3"/>
  <c r="Q23" i="3"/>
  <c r="S29" i="3" s="1"/>
  <c r="R21" i="3"/>
  <c r="R20" i="3"/>
  <c r="R19" i="3"/>
  <c r="R18" i="3"/>
  <c r="Q16" i="3"/>
  <c r="S22" i="3" s="1"/>
  <c r="R14" i="3"/>
  <c r="R13" i="3"/>
  <c r="R12" i="3"/>
  <c r="R11" i="3"/>
  <c r="Q9" i="3"/>
  <c r="S15" i="3" s="1"/>
  <c r="S8" i="3"/>
  <c r="E70" i="3"/>
  <c r="E69" i="3"/>
  <c r="E68" i="3"/>
  <c r="E67" i="3"/>
  <c r="D65" i="3"/>
  <c r="F71" i="3" s="1"/>
  <c r="E63" i="3"/>
  <c r="E62" i="3"/>
  <c r="E61" i="3"/>
  <c r="E60" i="3"/>
  <c r="D58" i="3"/>
  <c r="F64" i="3" s="1"/>
  <c r="E56" i="3"/>
  <c r="E55" i="3"/>
  <c r="E54" i="3"/>
  <c r="G51" i="3" s="1"/>
  <c r="E53" i="3"/>
  <c r="D51" i="3"/>
  <c r="F57" i="3" s="1"/>
  <c r="E49" i="3"/>
  <c r="E48" i="3"/>
  <c r="E47" i="3"/>
  <c r="E46" i="3"/>
  <c r="D44" i="3"/>
  <c r="F50" i="3" s="1"/>
  <c r="E42" i="3"/>
  <c r="E41" i="3"/>
  <c r="E40" i="3"/>
  <c r="E39" i="3"/>
  <c r="G37" i="3"/>
  <c r="D37" i="3"/>
  <c r="F43" i="3" s="1"/>
  <c r="E35" i="3"/>
  <c r="E34" i="3"/>
  <c r="E33" i="3"/>
  <c r="E32" i="3"/>
  <c r="G30" i="3"/>
  <c r="D30" i="3"/>
  <c r="F36" i="3" s="1"/>
  <c r="E29" i="3"/>
  <c r="G26" i="3" s="1"/>
  <c r="G28" i="3"/>
  <c r="E28" i="3"/>
  <c r="E27" i="3"/>
  <c r="E26" i="3"/>
  <c r="E25" i="3"/>
  <c r="G23" i="3"/>
  <c r="D23" i="3"/>
  <c r="F29" i="3" s="1"/>
  <c r="E23" i="3" s="1"/>
  <c r="E22" i="3"/>
  <c r="G19" i="3" s="1"/>
  <c r="G21" i="3"/>
  <c r="E21" i="3"/>
  <c r="E20" i="3"/>
  <c r="E19" i="3"/>
  <c r="E18" i="3"/>
  <c r="G16" i="3"/>
  <c r="D16" i="3"/>
  <c r="F22" i="3" s="1"/>
  <c r="E16" i="3" s="1"/>
  <c r="E15" i="3"/>
  <c r="G12" i="3" s="1"/>
  <c r="G14" i="3"/>
  <c r="E14" i="3"/>
  <c r="E13" i="3"/>
  <c r="E12" i="3"/>
  <c r="E11" i="3"/>
  <c r="G9" i="3"/>
  <c r="D9" i="3"/>
  <c r="F15" i="3" s="1"/>
  <c r="E9" i="3" s="1"/>
  <c r="E7" i="3"/>
  <c r="E6" i="3"/>
  <c r="E5" i="3"/>
  <c r="E4" i="3"/>
  <c r="D2" i="3"/>
  <c r="F8" i="3" s="1"/>
  <c r="O24" i="7"/>
  <c r="P23" i="7"/>
  <c r="P22" i="7"/>
  <c r="O22" i="7"/>
  <c r="B2" i="7"/>
  <c r="F9" i="7"/>
  <c r="O23" i="7" s="1"/>
  <c r="F10" i="7"/>
  <c r="F11" i="7"/>
  <c r="O25" i="7" s="1"/>
  <c r="F12" i="7"/>
  <c r="O26" i="7" s="1"/>
  <c r="F13" i="7"/>
  <c r="F14" i="7"/>
  <c r="F15" i="7"/>
  <c r="P24" i="7" s="1"/>
  <c r="F16" i="7"/>
  <c r="P25" i="7" s="1"/>
  <c r="F17" i="7"/>
  <c r="P26" i="7" s="1"/>
  <c r="F8" i="7"/>
  <c r="B12" i="14"/>
  <c r="E9" i="7"/>
  <c r="E10" i="7"/>
  <c r="E11" i="7"/>
  <c r="E12" i="7"/>
  <c r="E13" i="7"/>
  <c r="E14" i="7"/>
  <c r="E15" i="7"/>
  <c r="E16" i="7"/>
  <c r="E17" i="7"/>
  <c r="E8" i="7"/>
  <c r="Z3" i="5"/>
  <c r="Z4" i="5"/>
  <c r="Z5" i="5"/>
  <c r="Z6" i="5"/>
  <c r="Z7" i="5"/>
  <c r="Z8" i="5"/>
  <c r="Z9" i="5"/>
  <c r="Z10" i="5"/>
  <c r="Z11" i="5"/>
  <c r="Y7" i="5"/>
  <c r="Y8" i="5" s="1"/>
  <c r="Y9" i="5" s="1"/>
  <c r="Y10" i="5" s="1"/>
  <c r="Y11" i="5" s="1"/>
  <c r="Y2" i="5"/>
  <c r="Z2" i="5" s="1"/>
  <c r="T16" i="3" l="1"/>
  <c r="T18" i="3"/>
  <c r="T49" i="3"/>
  <c r="R9" i="3"/>
  <c r="R29" i="3"/>
  <c r="T28" i="3" s="1"/>
  <c r="R23" i="3"/>
  <c r="T40" i="3"/>
  <c r="R51" i="3"/>
  <c r="R57" i="3"/>
  <c r="T56" i="3" s="1"/>
  <c r="R50" i="3"/>
  <c r="R44" i="3"/>
  <c r="T9" i="3"/>
  <c r="T13" i="3"/>
  <c r="R15" i="3"/>
  <c r="T12" i="3" s="1"/>
  <c r="R36" i="3"/>
  <c r="T33" i="3" s="1"/>
  <c r="R30" i="3"/>
  <c r="T35" i="3"/>
  <c r="T47" i="3"/>
  <c r="R64" i="3"/>
  <c r="T63" i="3" s="1"/>
  <c r="R58" i="3"/>
  <c r="T14" i="3"/>
  <c r="R22" i="3"/>
  <c r="T21" i="3" s="1"/>
  <c r="R16" i="3"/>
  <c r="T26" i="3"/>
  <c r="R43" i="3"/>
  <c r="T42" i="3" s="1"/>
  <c r="R37" i="3"/>
  <c r="R65" i="3"/>
  <c r="R71" i="3"/>
  <c r="T67" i="3" s="1"/>
  <c r="T70" i="3"/>
  <c r="T20" i="3"/>
  <c r="T27" i="3"/>
  <c r="T34" i="3"/>
  <c r="T41" i="3"/>
  <c r="T46" i="3"/>
  <c r="T48" i="3"/>
  <c r="T55" i="3"/>
  <c r="T62" i="3"/>
  <c r="T69" i="3"/>
  <c r="T23" i="3"/>
  <c r="T30" i="3"/>
  <c r="T37" i="3"/>
  <c r="T44" i="3"/>
  <c r="T51" i="3"/>
  <c r="T58" i="3"/>
  <c r="T65" i="3"/>
  <c r="G48" i="3"/>
  <c r="E58" i="3"/>
  <c r="E64" i="3"/>
  <c r="G42" i="3"/>
  <c r="E51" i="3"/>
  <c r="E57" i="3"/>
  <c r="G54" i="3" s="1"/>
  <c r="G58" i="3"/>
  <c r="G62" i="3"/>
  <c r="G11" i="3"/>
  <c r="G18" i="3"/>
  <c r="G25" i="3"/>
  <c r="G35" i="3"/>
  <c r="E44" i="3"/>
  <c r="E50" i="3"/>
  <c r="G49" i="3" s="1"/>
  <c r="G13" i="3"/>
  <c r="G20" i="3"/>
  <c r="G27" i="3"/>
  <c r="E30" i="3"/>
  <c r="E36" i="3"/>
  <c r="G33" i="3" s="1"/>
  <c r="E37" i="3"/>
  <c r="E43" i="3"/>
  <c r="G40" i="3" s="1"/>
  <c r="G44" i="3"/>
  <c r="G60" i="3"/>
  <c r="G65" i="3"/>
  <c r="E65" i="3"/>
  <c r="E71" i="3"/>
  <c r="E2" i="3"/>
  <c r="E8" i="3"/>
  <c r="G5" i="3" s="1"/>
  <c r="G4" i="3"/>
  <c r="G6" i="3"/>
  <c r="G2" i="3"/>
  <c r="G7" i="7"/>
  <c r="B3" i="7"/>
  <c r="E18" i="7"/>
  <c r="G13" i="7" s="1"/>
  <c r="I13" i="7" s="1"/>
  <c r="Y3" i="5"/>
  <c r="Y4" i="5" s="1"/>
  <c r="B71" i="3"/>
  <c r="B64" i="3"/>
  <c r="B57" i="3"/>
  <c r="B50" i="3"/>
  <c r="B43" i="3"/>
  <c r="B36" i="3"/>
  <c r="B29" i="3"/>
  <c r="B22" i="3"/>
  <c r="B15" i="3"/>
  <c r="B8" i="3"/>
  <c r="F18" i="7"/>
  <c r="H12" i="7" s="1"/>
  <c r="J12" i="7" s="1"/>
  <c r="T54" i="3" l="1"/>
  <c r="T68" i="3"/>
  <c r="T61" i="3"/>
  <c r="T60" i="3"/>
  <c r="T53" i="3"/>
  <c r="T39" i="3"/>
  <c r="T32" i="3"/>
  <c r="T25" i="3"/>
  <c r="T19" i="3"/>
  <c r="T11" i="3"/>
  <c r="G70" i="3"/>
  <c r="G68" i="3"/>
  <c r="G69" i="3"/>
  <c r="G34" i="3"/>
  <c r="G67" i="3"/>
  <c r="G41" i="3"/>
  <c r="G61" i="3"/>
  <c r="G63" i="3"/>
  <c r="G47" i="3"/>
  <c r="G56" i="3"/>
  <c r="G55" i="3"/>
  <c r="G39" i="3"/>
  <c r="G32" i="3"/>
  <c r="G46" i="3"/>
  <c r="G53" i="3"/>
  <c r="G7" i="3"/>
  <c r="H7" i="7"/>
  <c r="H10" i="7"/>
  <c r="J10" i="7" s="1"/>
  <c r="H14" i="7"/>
  <c r="J14" i="7" s="1"/>
  <c r="G17" i="7"/>
  <c r="I17" i="7" s="1"/>
  <c r="G14" i="7"/>
  <c r="I14" i="7" s="1"/>
  <c r="H8" i="7"/>
  <c r="J8" i="7" s="1"/>
  <c r="G16" i="7"/>
  <c r="I16" i="7" s="1"/>
  <c r="G15" i="7"/>
  <c r="I15" i="7" s="1"/>
  <c r="G9" i="7"/>
  <c r="I9" i="7" s="1"/>
  <c r="G10" i="7"/>
  <c r="I10" i="7" s="1"/>
  <c r="K10" i="7" s="1"/>
  <c r="L10" i="7" s="1"/>
  <c r="S24" i="7" s="1"/>
  <c r="G12" i="7"/>
  <c r="I12" i="7" s="1"/>
  <c r="K12" i="7" s="1"/>
  <c r="L12" i="7" s="1"/>
  <c r="S26" i="7" s="1"/>
  <c r="H9" i="7"/>
  <c r="J9" i="7" s="1"/>
  <c r="H17" i="7"/>
  <c r="J17" i="7" s="1"/>
  <c r="K17" i="7" s="1"/>
  <c r="L17" i="7" s="1"/>
  <c r="T26" i="7" s="1"/>
  <c r="H15" i="7"/>
  <c r="J15" i="7" s="1"/>
  <c r="K15" i="7" s="1"/>
  <c r="L15" i="7" s="1"/>
  <c r="T24" i="7" s="1"/>
  <c r="H11" i="7"/>
  <c r="J11" i="7" s="1"/>
  <c r="H13" i="7"/>
  <c r="J13" i="7" s="1"/>
  <c r="K13" i="7" s="1"/>
  <c r="L13" i="7" s="1"/>
  <c r="T22" i="7" s="1"/>
  <c r="G8" i="7"/>
  <c r="I8" i="7" s="1"/>
  <c r="G11" i="7"/>
  <c r="I11" i="7" s="1"/>
  <c r="H16" i="7"/>
  <c r="J16" i="7" s="1"/>
  <c r="Y5" i="5"/>
  <c r="B17" i="5"/>
  <c r="B5" i="5"/>
  <c r="B6" i="5" s="1"/>
  <c r="C15" i="5"/>
  <c r="H15" i="5"/>
  <c r="K9" i="7" l="1"/>
  <c r="L9" i="7" s="1"/>
  <c r="S23" i="7" s="1"/>
  <c r="K8" i="7"/>
  <c r="L8" i="7" s="1"/>
  <c r="S22" i="7" s="1"/>
  <c r="K11" i="7"/>
  <c r="L11" i="7" s="1"/>
  <c r="S25" i="7" s="1"/>
  <c r="K16" i="7"/>
  <c r="L16" i="7" s="1"/>
  <c r="T25" i="7" s="1"/>
  <c r="K14" i="7"/>
  <c r="L14" i="7" s="1"/>
  <c r="T23" i="7" s="1"/>
  <c r="H18" i="7"/>
  <c r="G18" i="7"/>
  <c r="Y6" i="5"/>
  <c r="B7" i="5"/>
  <c r="B19" i="5"/>
  <c r="B18" i="5"/>
  <c r="P70" i="3"/>
  <c r="P69" i="3"/>
  <c r="P68" i="3"/>
  <c r="P67" i="3"/>
  <c r="P63" i="3"/>
  <c r="P62" i="3"/>
  <c r="P61" i="3"/>
  <c r="P60" i="3"/>
  <c r="P56" i="3"/>
  <c r="P55" i="3"/>
  <c r="P54" i="3"/>
  <c r="P53" i="3"/>
  <c r="P49" i="3"/>
  <c r="P48" i="3"/>
  <c r="P47" i="3"/>
  <c r="P46" i="3"/>
  <c r="P42" i="3"/>
  <c r="P41" i="3"/>
  <c r="P40" i="3"/>
  <c r="P39" i="3"/>
  <c r="P35" i="3"/>
  <c r="P34" i="3"/>
  <c r="P33" i="3"/>
  <c r="P32" i="3"/>
  <c r="P28" i="3"/>
  <c r="P27" i="3"/>
  <c r="P26" i="3"/>
  <c r="P25" i="3"/>
  <c r="P21" i="3"/>
  <c r="P20" i="3"/>
  <c r="P19" i="3"/>
  <c r="P18" i="3"/>
  <c r="P14" i="3"/>
  <c r="P13" i="3"/>
  <c r="P12" i="3"/>
  <c r="P11" i="3"/>
  <c r="P7" i="3"/>
  <c r="P6" i="3"/>
  <c r="P5" i="3"/>
  <c r="P4" i="3"/>
  <c r="R2" i="3"/>
  <c r="Q2" i="3"/>
  <c r="K18" i="7" l="1"/>
  <c r="J18" i="7"/>
  <c r="L18" i="7"/>
  <c r="I18" i="7"/>
  <c r="B8" i="5"/>
  <c r="B20" i="5"/>
  <c r="B70" i="3"/>
  <c r="B69" i="3"/>
  <c r="B68" i="3"/>
  <c r="B67" i="3"/>
  <c r="B63" i="3"/>
  <c r="B62" i="3"/>
  <c r="B61" i="3"/>
  <c r="B60" i="3"/>
  <c r="B56" i="3"/>
  <c r="B55" i="3"/>
  <c r="B54" i="3"/>
  <c r="B53" i="3"/>
  <c r="B49" i="3"/>
  <c r="B48" i="3"/>
  <c r="B47" i="3"/>
  <c r="B46" i="3"/>
  <c r="B42" i="3"/>
  <c r="B41" i="3"/>
  <c r="B40" i="3"/>
  <c r="B39" i="3"/>
  <c r="B35" i="3"/>
  <c r="B34" i="3"/>
  <c r="B33" i="3"/>
  <c r="B32" i="3"/>
  <c r="B28" i="3"/>
  <c r="B27" i="3"/>
  <c r="B26" i="3"/>
  <c r="B25" i="3"/>
  <c r="B21" i="3"/>
  <c r="B20" i="3"/>
  <c r="B19" i="3"/>
  <c r="B18" i="3"/>
  <c r="B14" i="3"/>
  <c r="B13" i="3"/>
  <c r="B12" i="3"/>
  <c r="B11" i="3"/>
  <c r="R6" i="5"/>
  <c r="R10" i="5"/>
  <c r="R14" i="5"/>
  <c r="R15" i="5"/>
  <c r="R16" i="5" s="1"/>
  <c r="R18" i="5"/>
  <c r="R19" i="5" s="1"/>
  <c r="Q22" i="5"/>
  <c r="Q23" i="5" s="1"/>
  <c r="R22" i="5"/>
  <c r="R23" i="5" s="1"/>
  <c r="R26" i="5"/>
  <c r="R27" i="5"/>
  <c r="R28" i="5" s="1"/>
  <c r="R30" i="5"/>
  <c r="R31" i="5" s="1"/>
  <c r="R32" i="5" s="1"/>
  <c r="R34" i="5"/>
  <c r="R35" i="5"/>
  <c r="R36" i="5" s="1"/>
  <c r="R38" i="5"/>
  <c r="R39" i="5" s="1"/>
  <c r="R40" i="5" s="1"/>
  <c r="Q2" i="5"/>
  <c r="Q3" i="5" s="1"/>
  <c r="Q4" i="5" s="1"/>
  <c r="R2" i="5"/>
  <c r="R3" i="5" s="1"/>
  <c r="B7" i="3"/>
  <c r="B6" i="3"/>
  <c r="B5" i="3"/>
  <c r="B4" i="3"/>
  <c r="T23" i="5" l="1"/>
  <c r="Q24" i="5"/>
  <c r="Q25" i="5" s="1"/>
  <c r="R7" i="5"/>
  <c r="R8" i="5" s="1"/>
  <c r="R11" i="5"/>
  <c r="R12" i="5" s="1"/>
  <c r="Q5" i="5"/>
  <c r="Q6" i="5" s="1"/>
  <c r="B9" i="5"/>
  <c r="B21" i="5"/>
  <c r="R4" i="5"/>
  <c r="T4" i="5" s="1"/>
  <c r="T3" i="5"/>
  <c r="R33" i="5"/>
  <c r="R29" i="5"/>
  <c r="R41" i="5"/>
  <c r="R17" i="5"/>
  <c r="R37" i="5"/>
  <c r="R9" i="5"/>
  <c r="R24" i="5"/>
  <c r="R20" i="5"/>
  <c r="T22" i="5"/>
  <c r="T2" i="5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2" i="12"/>
  <c r="T6" i="5" l="1"/>
  <c r="Q7" i="5"/>
  <c r="Q8" i="5" s="1"/>
  <c r="B10" i="5"/>
  <c r="B22" i="5"/>
  <c r="Q26" i="5"/>
  <c r="R5" i="5"/>
  <c r="T5" i="5" s="1"/>
  <c r="R13" i="5"/>
  <c r="R21" i="5"/>
  <c r="R25" i="5"/>
  <c r="T24" i="5"/>
  <c r="T7" i="5"/>
  <c r="Q27" i="5" l="1"/>
  <c r="T26" i="5"/>
  <c r="B11" i="5"/>
  <c r="B23" i="5"/>
  <c r="T25" i="5"/>
  <c r="Q9" i="5"/>
  <c r="T8" i="5"/>
  <c r="Q10" i="5" l="1"/>
  <c r="T9" i="5"/>
  <c r="B12" i="5"/>
  <c r="B24" i="5"/>
  <c r="Q28" i="5"/>
  <c r="T27" i="5"/>
  <c r="B13" i="5" l="1"/>
  <c r="B26" i="5" s="1"/>
  <c r="B25" i="5"/>
  <c r="Q29" i="5"/>
  <c r="T28" i="5"/>
  <c r="Q11" i="5"/>
  <c r="T10" i="5"/>
  <c r="M3" i="6"/>
  <c r="L3" i="6"/>
  <c r="K3" i="6"/>
  <c r="J3" i="6"/>
  <c r="M2" i="6"/>
  <c r="L2" i="6"/>
  <c r="K2" i="6"/>
  <c r="F3" i="6"/>
  <c r="E3" i="6"/>
  <c r="D3" i="6"/>
  <c r="C3" i="6"/>
  <c r="F2" i="6"/>
  <c r="E2" i="6"/>
  <c r="D2" i="6"/>
  <c r="K3" i="5"/>
  <c r="L3" i="5"/>
  <c r="J16" i="5"/>
  <c r="I16" i="5"/>
  <c r="H4" i="5"/>
  <c r="H6" i="5"/>
  <c r="H8" i="5"/>
  <c r="H10" i="5"/>
  <c r="H12" i="5"/>
  <c r="H17" i="5"/>
  <c r="H19" i="5"/>
  <c r="H21" i="5"/>
  <c r="H23" i="5"/>
  <c r="H25" i="5"/>
  <c r="L16" i="5"/>
  <c r="K16" i="5"/>
  <c r="Q30" i="5" l="1"/>
  <c r="T29" i="5"/>
  <c r="Q12" i="5"/>
  <c r="T11" i="5"/>
  <c r="B14" i="6"/>
  <c r="I14" i="6" s="1"/>
  <c r="B5" i="6" s="1"/>
  <c r="B16" i="6"/>
  <c r="I16" i="6" s="1"/>
  <c r="B7" i="6" s="1"/>
  <c r="B13" i="6"/>
  <c r="I13" i="6" s="1"/>
  <c r="P13" i="6" s="1"/>
  <c r="B26" i="6"/>
  <c r="I26" i="6" s="1"/>
  <c r="P26" i="6" s="1"/>
  <c r="D20" i="5"/>
  <c r="D24" i="5"/>
  <c r="D5" i="5"/>
  <c r="D22" i="5"/>
  <c r="D9" i="5"/>
  <c r="D25" i="5"/>
  <c r="D23" i="5"/>
  <c r="D21" i="5"/>
  <c r="D19" i="5"/>
  <c r="D17" i="5"/>
  <c r="D12" i="5"/>
  <c r="D10" i="5"/>
  <c r="D8" i="5"/>
  <c r="D6" i="5"/>
  <c r="D4" i="5"/>
  <c r="D13" i="5"/>
  <c r="D18" i="5"/>
  <c r="D7" i="5"/>
  <c r="D26" i="5"/>
  <c r="D11" i="5"/>
  <c r="I3" i="5"/>
  <c r="E25" i="5"/>
  <c r="E23" i="5"/>
  <c r="E21" i="5"/>
  <c r="E19" i="5"/>
  <c r="E17" i="5"/>
  <c r="E12" i="5"/>
  <c r="E10" i="5"/>
  <c r="E8" i="5"/>
  <c r="E6" i="5"/>
  <c r="E4" i="5"/>
  <c r="E26" i="5"/>
  <c r="E20" i="5"/>
  <c r="E9" i="5"/>
  <c r="E24" i="5"/>
  <c r="E18" i="5"/>
  <c r="E11" i="5"/>
  <c r="E5" i="5"/>
  <c r="E22" i="5"/>
  <c r="E13" i="5"/>
  <c r="E7" i="5"/>
  <c r="G25" i="5"/>
  <c r="G23" i="5"/>
  <c r="G21" i="5"/>
  <c r="G19" i="5"/>
  <c r="G17" i="5"/>
  <c r="G12" i="5"/>
  <c r="G10" i="5"/>
  <c r="G8" i="5"/>
  <c r="G6" i="5"/>
  <c r="G4" i="5"/>
  <c r="G26" i="5"/>
  <c r="G24" i="5"/>
  <c r="G22" i="5"/>
  <c r="G20" i="5"/>
  <c r="G18" i="5"/>
  <c r="G13" i="5"/>
  <c r="G11" i="5"/>
  <c r="G9" i="5"/>
  <c r="G7" i="5"/>
  <c r="G5" i="5"/>
  <c r="F25" i="5"/>
  <c r="F23" i="5"/>
  <c r="F21" i="5"/>
  <c r="F19" i="5"/>
  <c r="F17" i="5"/>
  <c r="F12" i="5"/>
  <c r="F10" i="5"/>
  <c r="F8" i="5"/>
  <c r="F6" i="5"/>
  <c r="F4" i="5"/>
  <c r="F24" i="5"/>
  <c r="F18" i="5"/>
  <c r="F9" i="5"/>
  <c r="F22" i="5"/>
  <c r="F11" i="5"/>
  <c r="F7" i="5"/>
  <c r="F26" i="5"/>
  <c r="F20" i="5"/>
  <c r="F13" i="5"/>
  <c r="F5" i="5"/>
  <c r="J3" i="5"/>
  <c r="B23" i="6"/>
  <c r="I23" i="6" s="1"/>
  <c r="Q13" i="5" l="1"/>
  <c r="T12" i="5"/>
  <c r="Q31" i="5"/>
  <c r="T30" i="5"/>
  <c r="I19" i="5"/>
  <c r="I8" i="5"/>
  <c r="I4" i="5"/>
  <c r="B4" i="6"/>
  <c r="P16" i="6"/>
  <c r="B15" i="6"/>
  <c r="I15" i="6" s="1"/>
  <c r="B6" i="6" s="1"/>
  <c r="P14" i="6"/>
  <c r="B17" i="6"/>
  <c r="I17" i="6" s="1"/>
  <c r="P17" i="6" s="1"/>
  <c r="I8" i="6"/>
  <c r="B25" i="6"/>
  <c r="I25" i="6" s="1"/>
  <c r="P25" i="6" s="1"/>
  <c r="L10" i="5"/>
  <c r="U17" i="5" s="1"/>
  <c r="K21" i="5"/>
  <c r="J21" i="5"/>
  <c r="I21" i="5"/>
  <c r="I23" i="5"/>
  <c r="K4" i="5"/>
  <c r="U4" i="5" s="1"/>
  <c r="R6" i="3" s="1"/>
  <c r="K23" i="5"/>
  <c r="U36" i="5" s="1"/>
  <c r="L12" i="5"/>
  <c r="U21" i="5" s="1"/>
  <c r="J4" i="5"/>
  <c r="U3" i="5" s="1"/>
  <c r="R5" i="3" s="1"/>
  <c r="J23" i="5"/>
  <c r="U35" i="5" s="1"/>
  <c r="K6" i="5"/>
  <c r="U8" i="5" s="1"/>
  <c r="K25" i="5"/>
  <c r="U40" i="5" s="1"/>
  <c r="L17" i="5"/>
  <c r="U25" i="5" s="1"/>
  <c r="J6" i="5"/>
  <c r="U7" i="5" s="1"/>
  <c r="J25" i="5"/>
  <c r="U39" i="5" s="1"/>
  <c r="I6" i="5"/>
  <c r="I25" i="5"/>
  <c r="K8" i="5"/>
  <c r="U12" i="5" s="1"/>
  <c r="L19" i="5"/>
  <c r="U29" i="5" s="1"/>
  <c r="J8" i="5"/>
  <c r="U11" i="5" s="1"/>
  <c r="C15" i="6"/>
  <c r="K10" i="5"/>
  <c r="U16" i="5" s="1"/>
  <c r="L21" i="5"/>
  <c r="U33" i="5" s="1"/>
  <c r="J10" i="5"/>
  <c r="U15" i="5" s="1"/>
  <c r="I10" i="5"/>
  <c r="F16" i="6"/>
  <c r="K12" i="5"/>
  <c r="U20" i="5" s="1"/>
  <c r="L4" i="5"/>
  <c r="U5" i="5" s="1"/>
  <c r="R7" i="3" s="1"/>
  <c r="L23" i="5"/>
  <c r="U37" i="5" s="1"/>
  <c r="J12" i="5"/>
  <c r="U19" i="5" s="1"/>
  <c r="I12" i="5"/>
  <c r="K17" i="5"/>
  <c r="U24" i="5" s="1"/>
  <c r="L6" i="5"/>
  <c r="U9" i="5" s="1"/>
  <c r="L25" i="5"/>
  <c r="U41" i="5" s="1"/>
  <c r="J17" i="5"/>
  <c r="U23" i="5" s="1"/>
  <c r="I17" i="5"/>
  <c r="K19" i="5"/>
  <c r="U28" i="5" s="1"/>
  <c r="L8" i="5"/>
  <c r="U13" i="5" s="1"/>
  <c r="J19" i="5"/>
  <c r="U27" i="5" s="1"/>
  <c r="C23" i="6"/>
  <c r="B24" i="6"/>
  <c r="I24" i="6" s="1"/>
  <c r="B22" i="6"/>
  <c r="I22" i="6" s="1"/>
  <c r="P23" i="6"/>
  <c r="I5" i="6"/>
  <c r="M21" i="5" l="1"/>
  <c r="AA9" i="5" s="1"/>
  <c r="Q32" i="5"/>
  <c r="T31" i="5"/>
  <c r="Q14" i="5"/>
  <c r="T13" i="5"/>
  <c r="C13" i="6"/>
  <c r="M4" i="5"/>
  <c r="AA2" i="5" s="1"/>
  <c r="U18" i="5"/>
  <c r="M12" i="5"/>
  <c r="AA6" i="5" s="1"/>
  <c r="U10" i="5"/>
  <c r="M8" i="5"/>
  <c r="AA4" i="5" s="1"/>
  <c r="U22" i="5"/>
  <c r="M17" i="5"/>
  <c r="AA7" i="5" s="1"/>
  <c r="U6" i="5"/>
  <c r="M6" i="5"/>
  <c r="AA3" i="5" s="1"/>
  <c r="U14" i="5"/>
  <c r="M10" i="5"/>
  <c r="AA5" i="5" s="1"/>
  <c r="U38" i="5"/>
  <c r="M25" i="5"/>
  <c r="AA11" i="5" s="1"/>
  <c r="U34" i="5"/>
  <c r="M23" i="5"/>
  <c r="AA10" i="5" s="1"/>
  <c r="U26" i="5"/>
  <c r="M19" i="5"/>
  <c r="AA8" i="5" s="1"/>
  <c r="U2" i="5"/>
  <c r="R4" i="3" s="1"/>
  <c r="C24" i="6"/>
  <c r="U30" i="5"/>
  <c r="D24" i="6"/>
  <c r="U31" i="5"/>
  <c r="E24" i="6"/>
  <c r="U32" i="5"/>
  <c r="P15" i="6"/>
  <c r="B8" i="6"/>
  <c r="I7" i="6"/>
  <c r="C25" i="6"/>
  <c r="E14" i="6"/>
  <c r="C22" i="6"/>
  <c r="F13" i="6"/>
  <c r="E16" i="6"/>
  <c r="D22" i="6"/>
  <c r="E17" i="6"/>
  <c r="C26" i="6"/>
  <c r="F26" i="6"/>
  <c r="C14" i="6"/>
  <c r="D25" i="6"/>
  <c r="F25" i="6"/>
  <c r="F14" i="6"/>
  <c r="D26" i="6"/>
  <c r="D13" i="6"/>
  <c r="E15" i="6"/>
  <c r="D23" i="6"/>
  <c r="E22" i="6"/>
  <c r="D14" i="6"/>
  <c r="F17" i="6"/>
  <c r="F15" i="6"/>
  <c r="C17" i="6"/>
  <c r="C16" i="6"/>
  <c r="D15" i="6"/>
  <c r="F22" i="6"/>
  <c r="E25" i="6"/>
  <c r="F24" i="6"/>
  <c r="E23" i="6"/>
  <c r="D17" i="6"/>
  <c r="D16" i="6"/>
  <c r="F23" i="6"/>
  <c r="E26" i="6"/>
  <c r="E13" i="6"/>
  <c r="P22" i="6"/>
  <c r="I4" i="6"/>
  <c r="I6" i="6"/>
  <c r="P24" i="6"/>
  <c r="T14" i="5" l="1"/>
  <c r="Q15" i="5"/>
  <c r="Q33" i="5"/>
  <c r="T32" i="5"/>
  <c r="M21" i="3"/>
  <c r="H21" i="3" s="1"/>
  <c r="M14" i="3"/>
  <c r="H14" i="3" s="1"/>
  <c r="M13" i="3"/>
  <c r="H13" i="3" s="1"/>
  <c r="M12" i="3"/>
  <c r="H12" i="3" s="1"/>
  <c r="M11" i="3"/>
  <c r="H11" i="3" s="1"/>
  <c r="Z12" i="3"/>
  <c r="U12" i="3" s="1"/>
  <c r="R8" i="3"/>
  <c r="T4" i="3" s="1"/>
  <c r="T2" i="3"/>
  <c r="C18" i="6"/>
  <c r="G13" i="6"/>
  <c r="G23" i="6"/>
  <c r="G15" i="6"/>
  <c r="G25" i="6"/>
  <c r="E18" i="6"/>
  <c r="F27" i="6"/>
  <c r="D18" i="6"/>
  <c r="E27" i="6"/>
  <c r="G14" i="6"/>
  <c r="F18" i="6"/>
  <c r="G24" i="6"/>
  <c r="D27" i="6"/>
  <c r="G22" i="6"/>
  <c r="C27" i="6"/>
  <c r="G16" i="6"/>
  <c r="G26" i="6"/>
  <c r="G17" i="6"/>
  <c r="V12" i="3" l="1"/>
  <c r="H15" i="3"/>
  <c r="J15" i="3" s="1"/>
  <c r="I11" i="3"/>
  <c r="I12" i="3"/>
  <c r="I21" i="3"/>
  <c r="I14" i="3"/>
  <c r="I13" i="3"/>
  <c r="Z18" i="3"/>
  <c r="U18" i="3" s="1"/>
  <c r="M18" i="3"/>
  <c r="H18" i="3" s="1"/>
  <c r="M20" i="3"/>
  <c r="H20" i="3" s="1"/>
  <c r="M19" i="3"/>
  <c r="H19" i="3" s="1"/>
  <c r="Q34" i="5"/>
  <c r="T33" i="5"/>
  <c r="Q16" i="5"/>
  <c r="T15" i="5"/>
  <c r="N12" i="3"/>
  <c r="N11" i="3"/>
  <c r="N13" i="3"/>
  <c r="Z13" i="3"/>
  <c r="U13" i="3" s="1"/>
  <c r="AA12" i="3"/>
  <c r="Z4" i="3"/>
  <c r="U4" i="3" s="1"/>
  <c r="T5" i="3"/>
  <c r="T6" i="3"/>
  <c r="Z5" i="3"/>
  <c r="U5" i="3" s="1"/>
  <c r="Z6" i="3"/>
  <c r="U6" i="3" s="1"/>
  <c r="Z7" i="3"/>
  <c r="U7" i="3" s="1"/>
  <c r="T7" i="3"/>
  <c r="Z14" i="3"/>
  <c r="U14" i="3" s="1"/>
  <c r="Z11" i="3"/>
  <c r="U11" i="3" s="1"/>
  <c r="M5" i="3"/>
  <c r="H5" i="3" s="1"/>
  <c r="M7" i="3"/>
  <c r="H7" i="3" s="1"/>
  <c r="M6" i="3"/>
  <c r="H6" i="3" s="1"/>
  <c r="M4" i="3"/>
  <c r="H4" i="3" s="1"/>
  <c r="V14" i="3" l="1"/>
  <c r="V13" i="3"/>
  <c r="U15" i="3"/>
  <c r="W15" i="3" s="1"/>
  <c r="W12" i="3" s="1"/>
  <c r="X12" i="3" s="1"/>
  <c r="V11" i="3"/>
  <c r="V18" i="3"/>
  <c r="Z20" i="3"/>
  <c r="U20" i="3" s="1"/>
  <c r="I19" i="3"/>
  <c r="Z21" i="3"/>
  <c r="U21" i="3" s="1"/>
  <c r="I20" i="3"/>
  <c r="Z19" i="3"/>
  <c r="U19" i="3" s="1"/>
  <c r="I18" i="3"/>
  <c r="H22" i="3"/>
  <c r="J22" i="3" s="1"/>
  <c r="N18" i="3"/>
  <c r="AA21" i="3"/>
  <c r="I5" i="3"/>
  <c r="H8" i="3"/>
  <c r="J8" i="3" s="1"/>
  <c r="I4" i="3"/>
  <c r="I6" i="3"/>
  <c r="I7" i="3"/>
  <c r="N20" i="3"/>
  <c r="Q17" i="5"/>
  <c r="T16" i="5"/>
  <c r="T34" i="5"/>
  <c r="Q35" i="5"/>
  <c r="N14" i="3"/>
  <c r="J14" i="3" s="1"/>
  <c r="K14" i="3" s="1"/>
  <c r="AA20" i="3"/>
  <c r="N21" i="3"/>
  <c r="N19" i="3"/>
  <c r="J19" i="3" s="1"/>
  <c r="K19" i="3" s="1"/>
  <c r="AA13" i="3"/>
  <c r="U8" i="3"/>
  <c r="W8" i="3" s="1"/>
  <c r="AA4" i="3"/>
  <c r="V4" i="3"/>
  <c r="AA7" i="3"/>
  <c r="V7" i="3"/>
  <c r="V6" i="3"/>
  <c r="AA6" i="3"/>
  <c r="AA11" i="3"/>
  <c r="AA14" i="3"/>
  <c r="W14" i="3" s="1"/>
  <c r="X14" i="3" s="1"/>
  <c r="V5" i="3"/>
  <c r="AA5" i="3"/>
  <c r="N5" i="3"/>
  <c r="N6" i="3"/>
  <c r="N7" i="3"/>
  <c r="N4" i="3"/>
  <c r="J4" i="3" s="1"/>
  <c r="K4" i="3" s="1"/>
  <c r="W11" i="3" l="1"/>
  <c r="X11" i="3" s="1"/>
  <c r="W13" i="3"/>
  <c r="X13" i="3" s="1"/>
  <c r="V19" i="3"/>
  <c r="V21" i="3"/>
  <c r="V20" i="3"/>
  <c r="U22" i="3"/>
  <c r="W22" i="3" s="1"/>
  <c r="W20" i="3" s="1"/>
  <c r="X20" i="3" s="1"/>
  <c r="AA19" i="3"/>
  <c r="W19" i="3" s="1"/>
  <c r="X19" i="3" s="1"/>
  <c r="AA18" i="3"/>
  <c r="W18" i="3" s="1"/>
  <c r="X18" i="3" s="1"/>
  <c r="J12" i="3"/>
  <c r="K12" i="3" s="1"/>
  <c r="J20" i="3"/>
  <c r="K20" i="3" s="1"/>
  <c r="J13" i="3"/>
  <c r="K13" i="3" s="1"/>
  <c r="J21" i="3"/>
  <c r="K21" i="3" s="1"/>
  <c r="J18" i="3"/>
  <c r="K18" i="3" s="1"/>
  <c r="J11" i="3"/>
  <c r="K11" i="3" s="1"/>
  <c r="K10" i="3" s="1"/>
  <c r="J7" i="3"/>
  <c r="K7" i="3" s="1"/>
  <c r="J6" i="3"/>
  <c r="K6" i="3" s="1"/>
  <c r="J5" i="3"/>
  <c r="K5" i="3" s="1"/>
  <c r="K3" i="3" s="1"/>
  <c r="Q36" i="5"/>
  <c r="T35" i="5"/>
  <c r="T17" i="5"/>
  <c r="Q18" i="5"/>
  <c r="L15" i="6"/>
  <c r="J15" i="6"/>
  <c r="Q15" i="6" s="1"/>
  <c r="W6" i="3"/>
  <c r="X6" i="3" s="1"/>
  <c r="W5" i="3"/>
  <c r="X5" i="3" s="1"/>
  <c r="W7" i="3"/>
  <c r="X7" i="3" s="1"/>
  <c r="W4" i="3"/>
  <c r="X4" i="3" s="1"/>
  <c r="W21" i="3" l="1"/>
  <c r="X21" i="3" s="1"/>
  <c r="X17" i="3" s="1"/>
  <c r="X10" i="3"/>
  <c r="K17" i="3"/>
  <c r="Q19" i="5"/>
  <c r="T18" i="5"/>
  <c r="Q37" i="5"/>
  <c r="T36" i="5"/>
  <c r="M27" i="3"/>
  <c r="H27" i="3" s="1"/>
  <c r="K15" i="6"/>
  <c r="R15" i="6" s="1"/>
  <c r="X3" i="3"/>
  <c r="M15" i="6"/>
  <c r="J13" i="6"/>
  <c r="M14" i="6"/>
  <c r="K14" i="6"/>
  <c r="R14" i="6" s="1"/>
  <c r="K13" i="6"/>
  <c r="L13" i="6"/>
  <c r="M13" i="6"/>
  <c r="T13" i="6" s="1"/>
  <c r="C6" i="6"/>
  <c r="S15" i="6"/>
  <c r="E6" i="6"/>
  <c r="L14" i="6"/>
  <c r="J14" i="6"/>
  <c r="Q14" i="6" s="1"/>
  <c r="I27" i="3" l="1"/>
  <c r="N27" i="3"/>
  <c r="M25" i="3"/>
  <c r="H25" i="3" s="1"/>
  <c r="M26" i="3"/>
  <c r="H26" i="3" s="1"/>
  <c r="Q20" i="5"/>
  <c r="T19" i="5"/>
  <c r="M28" i="3"/>
  <c r="H28" i="3" s="1"/>
  <c r="D6" i="6"/>
  <c r="Q38" i="5"/>
  <c r="T37" i="5"/>
  <c r="N15" i="6"/>
  <c r="D5" i="6"/>
  <c r="F6" i="6"/>
  <c r="T15" i="6"/>
  <c r="Q13" i="6"/>
  <c r="N13" i="6"/>
  <c r="C4" i="6"/>
  <c r="T14" i="6"/>
  <c r="F5" i="6"/>
  <c r="S13" i="6"/>
  <c r="E4" i="6"/>
  <c r="D4" i="6"/>
  <c r="R13" i="6"/>
  <c r="F4" i="6"/>
  <c r="S14" i="6"/>
  <c r="E5" i="6"/>
  <c r="N14" i="6"/>
  <c r="C5" i="6"/>
  <c r="I26" i="3" l="1"/>
  <c r="I28" i="3"/>
  <c r="I25" i="3"/>
  <c r="H29" i="3"/>
  <c r="J29" i="3" s="1"/>
  <c r="J27" i="3" s="1"/>
  <c r="K27" i="3" s="1"/>
  <c r="Z27" i="3"/>
  <c r="U27" i="3" s="1"/>
  <c r="N26" i="3"/>
  <c r="T20" i="5"/>
  <c r="Q21" i="5"/>
  <c r="N28" i="3"/>
  <c r="Q39" i="5"/>
  <c r="T38" i="5"/>
  <c r="Z25" i="3"/>
  <c r="U25" i="3" s="1"/>
  <c r="Z26" i="3"/>
  <c r="U26" i="3" s="1"/>
  <c r="Z28" i="3"/>
  <c r="U28" i="3" s="1"/>
  <c r="N25" i="3"/>
  <c r="Q17" i="6"/>
  <c r="U29" i="3" l="1"/>
  <c r="W29" i="3" s="1"/>
  <c r="V25" i="3"/>
  <c r="V28" i="3"/>
  <c r="V26" i="3"/>
  <c r="V27" i="3"/>
  <c r="AA27" i="3"/>
  <c r="J28" i="3"/>
  <c r="K28" i="3" s="1"/>
  <c r="J26" i="3"/>
  <c r="K26" i="3" s="1"/>
  <c r="J25" i="3"/>
  <c r="K25" i="3" s="1"/>
  <c r="K24" i="3" s="1"/>
  <c r="Q40" i="5"/>
  <c r="T39" i="5"/>
  <c r="T21" i="5"/>
  <c r="K16" i="6"/>
  <c r="M16" i="6"/>
  <c r="AA26" i="3"/>
  <c r="AA28" i="3"/>
  <c r="W28" i="3" s="1"/>
  <c r="X28" i="3" s="1"/>
  <c r="L16" i="6"/>
  <c r="AA25" i="3"/>
  <c r="W26" i="3" l="1"/>
  <c r="X26" i="3" s="1"/>
  <c r="W25" i="3"/>
  <c r="X25" i="3" s="1"/>
  <c r="W27" i="3"/>
  <c r="X27" i="3" s="1"/>
  <c r="S16" i="6"/>
  <c r="E7" i="6"/>
  <c r="J16" i="6"/>
  <c r="T16" i="6"/>
  <c r="F7" i="6"/>
  <c r="D7" i="6"/>
  <c r="R16" i="6"/>
  <c r="Q41" i="5"/>
  <c r="T41" i="5" s="1"/>
  <c r="T40" i="5"/>
  <c r="X24" i="3" l="1"/>
  <c r="Q16" i="6"/>
  <c r="N16" i="6"/>
  <c r="C7" i="6"/>
  <c r="M33" i="3" l="1"/>
  <c r="H33" i="3" s="1"/>
  <c r="M49" i="3"/>
  <c r="H49" i="3" s="1"/>
  <c r="M56" i="3"/>
  <c r="H56" i="3" s="1"/>
  <c r="I33" i="3" l="1"/>
  <c r="I56" i="3"/>
  <c r="I49" i="3"/>
  <c r="M70" i="3"/>
  <c r="H70" i="3" s="1"/>
  <c r="M62" i="3"/>
  <c r="H62" i="3" s="1"/>
  <c r="M63" i="3"/>
  <c r="H63" i="3" s="1"/>
  <c r="M61" i="3"/>
  <c r="H61" i="3" s="1"/>
  <c r="M53" i="3"/>
  <c r="H53" i="3" s="1"/>
  <c r="M60" i="3"/>
  <c r="H60" i="3" s="1"/>
  <c r="M40" i="3"/>
  <c r="H40" i="3" s="1"/>
  <c r="N33" i="3"/>
  <c r="M39" i="3"/>
  <c r="H39" i="3" s="1"/>
  <c r="M42" i="3"/>
  <c r="H42" i="3" s="1"/>
  <c r="M41" i="3"/>
  <c r="H41" i="3" s="1"/>
  <c r="M48" i="3"/>
  <c r="H48" i="3" s="1"/>
  <c r="N49" i="3"/>
  <c r="M68" i="3"/>
  <c r="H68" i="3" s="1"/>
  <c r="Z60" i="3"/>
  <c r="U60" i="3" s="1"/>
  <c r="M55" i="3"/>
  <c r="H55" i="3" s="1"/>
  <c r="Z63" i="3"/>
  <c r="U63" i="3" s="1"/>
  <c r="M67" i="3"/>
  <c r="H67" i="3" s="1"/>
  <c r="Z49" i="3"/>
  <c r="U49" i="3" s="1"/>
  <c r="Z62" i="3"/>
  <c r="U62" i="3" s="1"/>
  <c r="M54" i="3"/>
  <c r="H54" i="3" s="1"/>
  <c r="Z48" i="3"/>
  <c r="U48" i="3" s="1"/>
  <c r="Z67" i="3"/>
  <c r="U67" i="3" s="1"/>
  <c r="M32" i="3"/>
  <c r="H32" i="3" s="1"/>
  <c r="M35" i="3"/>
  <c r="H35" i="3" s="1"/>
  <c r="M69" i="3"/>
  <c r="H69" i="3" s="1"/>
  <c r="M46" i="3"/>
  <c r="H46" i="3" s="1"/>
  <c r="M47" i="3"/>
  <c r="H47" i="3" s="1"/>
  <c r="M34" i="3"/>
  <c r="H34" i="3" s="1"/>
  <c r="Z34" i="3"/>
  <c r="U34" i="3" s="1"/>
  <c r="V62" i="3" l="1"/>
  <c r="V63" i="3"/>
  <c r="V49" i="3"/>
  <c r="V60" i="3"/>
  <c r="V67" i="3"/>
  <c r="V34" i="3"/>
  <c r="V48" i="3"/>
  <c r="AA48" i="3"/>
  <c r="H50" i="3"/>
  <c r="J50" i="3" s="1"/>
  <c r="I46" i="3"/>
  <c r="I69" i="3"/>
  <c r="H43" i="3"/>
  <c r="J43" i="3" s="1"/>
  <c r="I39" i="3"/>
  <c r="H57" i="3"/>
  <c r="J57" i="3" s="1"/>
  <c r="I53" i="3"/>
  <c r="I70" i="3"/>
  <c r="I42" i="3"/>
  <c r="H64" i="3"/>
  <c r="J64" i="3" s="1"/>
  <c r="I60" i="3"/>
  <c r="I62" i="3"/>
  <c r="I68" i="3"/>
  <c r="I48" i="3"/>
  <c r="I61" i="3"/>
  <c r="I54" i="3"/>
  <c r="H71" i="3"/>
  <c r="J71" i="3" s="1"/>
  <c r="I67" i="3"/>
  <c r="I34" i="3"/>
  <c r="I35" i="3"/>
  <c r="I47" i="3"/>
  <c r="I32" i="3"/>
  <c r="H36" i="3"/>
  <c r="J36" i="3" s="1"/>
  <c r="J33" i="3" s="1"/>
  <c r="K33" i="3" s="1"/>
  <c r="I55" i="3"/>
  <c r="I41" i="3"/>
  <c r="I40" i="3"/>
  <c r="I63" i="3"/>
  <c r="AA63" i="3"/>
  <c r="N60" i="3"/>
  <c r="Z42" i="3"/>
  <c r="U42" i="3" s="1"/>
  <c r="N56" i="3"/>
  <c r="Z61" i="3"/>
  <c r="U61" i="3" s="1"/>
  <c r="U64" i="3" s="1"/>
  <c r="W64" i="3" s="1"/>
  <c r="N40" i="3"/>
  <c r="J40" i="3" s="1"/>
  <c r="K40" i="3" s="1"/>
  <c r="N39" i="3"/>
  <c r="N53" i="3"/>
  <c r="AA62" i="3"/>
  <c r="N42" i="3"/>
  <c r="N41" i="3"/>
  <c r="N48" i="3"/>
  <c r="AA67" i="3"/>
  <c r="AA60" i="3"/>
  <c r="AA34" i="3"/>
  <c r="N69" i="3"/>
  <c r="N32" i="3"/>
  <c r="N68" i="3"/>
  <c r="N47" i="3"/>
  <c r="N35" i="3"/>
  <c r="Z39" i="3"/>
  <c r="U39" i="3" s="1"/>
  <c r="Z40" i="3"/>
  <c r="U40" i="3" s="1"/>
  <c r="Z46" i="3"/>
  <c r="U46" i="3" s="1"/>
  <c r="Z47" i="3"/>
  <c r="U47" i="3" s="1"/>
  <c r="Z54" i="3"/>
  <c r="U54" i="3" s="1"/>
  <c r="Z32" i="3"/>
  <c r="U32" i="3" s="1"/>
  <c r="Z33" i="3"/>
  <c r="U33" i="3" s="1"/>
  <c r="Z53" i="3"/>
  <c r="U53" i="3" s="1"/>
  <c r="Z68" i="3"/>
  <c r="U68" i="3" s="1"/>
  <c r="U71" i="3" s="1"/>
  <c r="W71" i="3" s="1"/>
  <c r="Z55" i="3"/>
  <c r="U55" i="3" s="1"/>
  <c r="N67" i="3"/>
  <c r="Z35" i="3"/>
  <c r="U35" i="3" s="1"/>
  <c r="N34" i="3"/>
  <c r="J34" i="3" s="1"/>
  <c r="K34" i="3" s="1"/>
  <c r="N46" i="3"/>
  <c r="J46" i="3" s="1"/>
  <c r="K46" i="3" s="1"/>
  <c r="N54" i="3"/>
  <c r="J54" i="3" s="1"/>
  <c r="K54" i="3" s="1"/>
  <c r="Z70" i="3"/>
  <c r="U70" i="3" s="1"/>
  <c r="Z56" i="3"/>
  <c r="U56" i="3" s="1"/>
  <c r="N55" i="3"/>
  <c r="Z69" i="3"/>
  <c r="U69" i="3" s="1"/>
  <c r="Z41" i="3"/>
  <c r="U41" i="3" s="1"/>
  <c r="V35" i="3" l="1"/>
  <c r="U57" i="3"/>
  <c r="W57" i="3" s="1"/>
  <c r="V53" i="3"/>
  <c r="V47" i="3"/>
  <c r="V69" i="3"/>
  <c r="V33" i="3"/>
  <c r="U50" i="3"/>
  <c r="W50" i="3" s="1"/>
  <c r="V46" i="3"/>
  <c r="V42" i="3"/>
  <c r="V41" i="3"/>
  <c r="V55" i="3"/>
  <c r="U36" i="3"/>
  <c r="W36" i="3" s="1"/>
  <c r="W34" i="3" s="1"/>
  <c r="X34" i="3" s="1"/>
  <c r="V32" i="3"/>
  <c r="V70" i="3"/>
  <c r="V40" i="3"/>
  <c r="V56" i="3"/>
  <c r="V68" i="3"/>
  <c r="V54" i="3"/>
  <c r="U43" i="3"/>
  <c r="W43" i="3" s="1"/>
  <c r="V39" i="3"/>
  <c r="V61" i="3"/>
  <c r="AA42" i="3"/>
  <c r="AA49" i="3"/>
  <c r="J35" i="3"/>
  <c r="K35" i="3" s="1"/>
  <c r="J48" i="3"/>
  <c r="K48" i="3" s="1"/>
  <c r="J32" i="3"/>
  <c r="K32" i="3" s="1"/>
  <c r="J55" i="3"/>
  <c r="K55" i="3" s="1"/>
  <c r="J47" i="3"/>
  <c r="K47" i="3" s="1"/>
  <c r="K45" i="3" s="1"/>
  <c r="J41" i="3"/>
  <c r="K41" i="3" s="1"/>
  <c r="J53" i="3"/>
  <c r="K53" i="3" s="1"/>
  <c r="K52" i="3" s="1"/>
  <c r="J56" i="3"/>
  <c r="K56" i="3" s="1"/>
  <c r="J49" i="3"/>
  <c r="K49" i="3" s="1"/>
  <c r="J42" i="3"/>
  <c r="K42" i="3" s="1"/>
  <c r="J39" i="3"/>
  <c r="K39" i="3" s="1"/>
  <c r="K38" i="3" s="1"/>
  <c r="L17" i="6"/>
  <c r="N63" i="3"/>
  <c r="J63" i="3" s="1"/>
  <c r="K63" i="3" s="1"/>
  <c r="N62" i="3"/>
  <c r="J62" i="3" s="1"/>
  <c r="K62" i="3" s="1"/>
  <c r="M26" i="6"/>
  <c r="N61" i="3"/>
  <c r="J60" i="3" s="1"/>
  <c r="K60" i="3" s="1"/>
  <c r="K22" i="6"/>
  <c r="R22" i="6" s="1"/>
  <c r="AA61" i="3"/>
  <c r="W61" i="3" s="1"/>
  <c r="X61" i="3" s="1"/>
  <c r="M24" i="6"/>
  <c r="N70" i="3"/>
  <c r="J70" i="3" s="1"/>
  <c r="K70" i="3" s="1"/>
  <c r="L22" i="6"/>
  <c r="L4" i="6" s="1"/>
  <c r="M22" i="6"/>
  <c r="T22" i="6" s="1"/>
  <c r="M23" i="6"/>
  <c r="M5" i="6" s="1"/>
  <c r="AA53" i="3"/>
  <c r="AA69" i="3"/>
  <c r="AA70" i="3"/>
  <c r="W70" i="3" s="1"/>
  <c r="X70" i="3" s="1"/>
  <c r="AA55" i="3"/>
  <c r="W55" i="3" s="1"/>
  <c r="X55" i="3" s="1"/>
  <c r="AA33" i="3"/>
  <c r="AA54" i="3"/>
  <c r="AA39" i="3"/>
  <c r="W39" i="3" s="1"/>
  <c r="X39" i="3" s="1"/>
  <c r="K23" i="6"/>
  <c r="K17" i="6"/>
  <c r="AA56" i="3"/>
  <c r="AA46" i="3"/>
  <c r="W46" i="3" s="1"/>
  <c r="X46" i="3" s="1"/>
  <c r="L24" i="6"/>
  <c r="K24" i="6"/>
  <c r="AA47" i="3"/>
  <c r="M17" i="6"/>
  <c r="AA35" i="3"/>
  <c r="AA68" i="3"/>
  <c r="AA41" i="3"/>
  <c r="L23" i="6"/>
  <c r="AA32" i="3"/>
  <c r="W32" i="3" s="1"/>
  <c r="X32" i="3" s="1"/>
  <c r="AA40" i="3"/>
  <c r="W41" i="3" l="1"/>
  <c r="X41" i="3" s="1"/>
  <c r="X38" i="3" s="1"/>
  <c r="W47" i="3"/>
  <c r="X47" i="3" s="1"/>
  <c r="W69" i="3"/>
  <c r="X69" i="3" s="1"/>
  <c r="W67" i="3"/>
  <c r="X67" i="3" s="1"/>
  <c r="X66" i="3" s="1"/>
  <c r="W48" i="3"/>
  <c r="X48" i="3" s="1"/>
  <c r="X45" i="3" s="1"/>
  <c r="W62" i="3"/>
  <c r="X62" i="3" s="1"/>
  <c r="W56" i="3"/>
  <c r="X56" i="3" s="1"/>
  <c r="W54" i="3"/>
  <c r="X54" i="3" s="1"/>
  <c r="W63" i="3"/>
  <c r="X63" i="3" s="1"/>
  <c r="W40" i="3"/>
  <c r="X40" i="3" s="1"/>
  <c r="W68" i="3"/>
  <c r="X68" i="3" s="1"/>
  <c r="W33" i="3"/>
  <c r="X33" i="3" s="1"/>
  <c r="X31" i="3" s="1"/>
  <c r="W53" i="3"/>
  <c r="X53" i="3" s="1"/>
  <c r="X52" i="3" s="1"/>
  <c r="W49" i="3"/>
  <c r="X49" i="3" s="1"/>
  <c r="W35" i="3"/>
  <c r="X35" i="3" s="1"/>
  <c r="W42" i="3"/>
  <c r="X42" i="3" s="1"/>
  <c r="W60" i="3"/>
  <c r="X60" i="3" s="1"/>
  <c r="X59" i="3" s="1"/>
  <c r="S22" i="6"/>
  <c r="K31" i="3"/>
  <c r="J68" i="3"/>
  <c r="K68" i="3" s="1"/>
  <c r="K26" i="6" s="1"/>
  <c r="K8" i="6" s="1"/>
  <c r="J61" i="3"/>
  <c r="K61" i="3" s="1"/>
  <c r="K59" i="3" s="1"/>
  <c r="J67" i="3"/>
  <c r="K67" i="3" s="1"/>
  <c r="K66" i="3" s="1"/>
  <c r="J69" i="3"/>
  <c r="K69" i="3" s="1"/>
  <c r="E8" i="6"/>
  <c r="L18" i="6"/>
  <c r="J25" i="6"/>
  <c r="K25" i="6"/>
  <c r="L25" i="6"/>
  <c r="J22" i="6"/>
  <c r="L26" i="6"/>
  <c r="S26" i="6" s="1"/>
  <c r="M25" i="6"/>
  <c r="M4" i="6"/>
  <c r="N22" i="6"/>
  <c r="K4" i="6"/>
  <c r="R26" i="6"/>
  <c r="S17" i="6"/>
  <c r="T23" i="6"/>
  <c r="M27" i="6"/>
  <c r="M9" i="6" s="1"/>
  <c r="K27" i="6"/>
  <c r="R27" i="6" s="1"/>
  <c r="S23" i="6"/>
  <c r="L5" i="6"/>
  <c r="K6" i="6"/>
  <c r="R24" i="6"/>
  <c r="R17" i="6"/>
  <c r="D8" i="6"/>
  <c r="K18" i="6"/>
  <c r="M6" i="6"/>
  <c r="T24" i="6"/>
  <c r="J23" i="6"/>
  <c r="T17" i="6"/>
  <c r="F8" i="6"/>
  <c r="M18" i="6"/>
  <c r="S18" i="6"/>
  <c r="E9" i="6"/>
  <c r="L6" i="6"/>
  <c r="S24" i="6"/>
  <c r="J17" i="6"/>
  <c r="M8" i="6"/>
  <c r="T26" i="6"/>
  <c r="J24" i="6"/>
  <c r="K5" i="6"/>
  <c r="R23" i="6"/>
  <c r="L8" i="6" l="1"/>
  <c r="L7" i="6"/>
  <c r="S25" i="6"/>
  <c r="J7" i="6"/>
  <c r="Q25" i="6"/>
  <c r="N25" i="6"/>
  <c r="J26" i="6"/>
  <c r="J27" i="6" s="1"/>
  <c r="T25" i="6"/>
  <c r="M7" i="6"/>
  <c r="K7" i="6"/>
  <c r="R25" i="6"/>
  <c r="L27" i="6"/>
  <c r="L9" i="6" s="1"/>
  <c r="J4" i="6"/>
  <c r="Q22" i="6"/>
  <c r="T27" i="6"/>
  <c r="K9" i="6"/>
  <c r="D9" i="6"/>
  <c r="R18" i="6"/>
  <c r="Q24" i="6"/>
  <c r="J6" i="6"/>
  <c r="N24" i="6"/>
  <c r="F9" i="6"/>
  <c r="T18" i="6"/>
  <c r="N23" i="6"/>
  <c r="Q23" i="6"/>
  <c r="J5" i="6"/>
  <c r="C8" i="6"/>
  <c r="N17" i="6"/>
  <c r="J18" i="6"/>
  <c r="N26" i="6"/>
  <c r="J8" i="6" l="1"/>
  <c r="Q26" i="6"/>
  <c r="S27" i="6"/>
  <c r="C9" i="6"/>
  <c r="Q18" i="6"/>
  <c r="Q27" i="6"/>
  <c r="J9" i="6"/>
</calcChain>
</file>

<file path=xl/sharedStrings.xml><?xml version="1.0" encoding="utf-8"?>
<sst xmlns="http://schemas.openxmlformats.org/spreadsheetml/2006/main" count="467" uniqueCount="57">
  <si>
    <t>Dép.</t>
  </si>
  <si>
    <t>Reste</t>
  </si>
  <si>
    <t>Quotient</t>
  </si>
  <si>
    <t>Places au
quotient</t>
  </si>
  <si>
    <t>Places
au reste</t>
  </si>
  <si>
    <t>dep</t>
  </si>
  <si>
    <t>sexe</t>
  </si>
  <si>
    <t>F</t>
  </si>
  <si>
    <t>M</t>
  </si>
  <si>
    <t>Filles</t>
  </si>
  <si>
    <t>Min</t>
  </si>
  <si>
    <t>Ben</t>
  </si>
  <si>
    <t>Pup</t>
  </si>
  <si>
    <t>Pou</t>
  </si>
  <si>
    <t>Garçons</t>
  </si>
  <si>
    <t>Ppo</t>
  </si>
  <si>
    <t>MinM</t>
  </si>
  <si>
    <t>BenM</t>
  </si>
  <si>
    <t>PupM</t>
  </si>
  <si>
    <t>MinF</t>
  </si>
  <si>
    <t>BenF</t>
  </si>
  <si>
    <t>PupF</t>
  </si>
  <si>
    <t>PouF</t>
  </si>
  <si>
    <t>PpoF</t>
  </si>
  <si>
    <t>PouM</t>
  </si>
  <si>
    <t>PpoM</t>
  </si>
  <si>
    <t>Effectif</t>
  </si>
  <si>
    <t>Quotient
entier</t>
  </si>
  <si>
    <t>Année de
naissance</t>
  </si>
  <si>
    <t>Total</t>
  </si>
  <si>
    <t>Places attribuées</t>
  </si>
  <si>
    <t>Chances de qualification</t>
  </si>
  <si>
    <t>annee</t>
  </si>
  <si>
    <t>cat</t>
  </si>
  <si>
    <t>n</t>
  </si>
  <si>
    <t>Places
fixes</t>
  </si>
  <si>
    <t>Effectifs de référence</t>
  </si>
  <si>
    <t>1er tour</t>
  </si>
  <si>
    <t>2e tour</t>
  </si>
  <si>
    <t>Effectif de référence</t>
  </si>
  <si>
    <t>SELECT sexe, YEAR( nele ) AS annee, cat, dep, COUNT( ref ) AS n FROM papi_joueur_2018 WHERE neLe &gt;=  '2003-01-01' AND ligue =  'BRE' AND affType =  'A' GROUP BY sexe, annee, cat, dep</t>
  </si>
  <si>
    <t>Catégorie
31/08/2018</t>
  </si>
  <si>
    <t>Catégorie
01/09/2018</t>
  </si>
  <si>
    <t>Lic. A au 31/08/2018</t>
  </si>
  <si>
    <t>Qualifiés
France
jeunes</t>
  </si>
  <si>
    <t>Places
Effectifs</t>
  </si>
  <si>
    <t>Places
Qualifiés</t>
  </si>
  <si>
    <t>Catégorie</t>
  </si>
  <si>
    <t>Places</t>
  </si>
  <si>
    <t>Pondération effectifs</t>
  </si>
  <si>
    <t>Pondération qualifiés</t>
  </si>
  <si>
    <t>Places
ajustées</t>
  </si>
  <si>
    <t>Minimum par catégorie</t>
  </si>
  <si>
    <t>Maximum par catégorie</t>
  </si>
  <si>
    <t>Effectifs
référence</t>
  </si>
  <si>
    <t>Qualifiés
FJ</t>
  </si>
  <si>
    <t>Places au bretagne jeunes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</si>
</sst>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9" fontId="4" fillId="2" borderId="3" xfId="1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/>
    </xf>
    <xf numFmtId="9" fontId="4" fillId="2" borderId="9" xfId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5" fillId="0" borderId="0" xfId="0" applyFont="1"/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9" fontId="4" fillId="2" borderId="0" xfId="1" applyFont="1" applyFill="1"/>
    <xf numFmtId="0" fontId="3" fillId="2" borderId="29" xfId="0" applyFont="1" applyFill="1" applyBorder="1"/>
    <xf numFmtId="0" fontId="3" fillId="2" borderId="29" xfId="0" applyFont="1" applyFill="1" applyBorder="1" applyAlignment="1">
      <alignment horizontal="center" wrapText="1"/>
    </xf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9" fontId="4" fillId="2" borderId="30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colors>
    <mruColors>
      <color rgb="FFBDF40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A19" sqref="A19"/>
    </sheetView>
  </sheetViews>
  <sheetFormatPr baseColWidth="10" defaultRowHeight="15" x14ac:dyDescent="0.25"/>
  <cols>
    <col min="1" max="1" width="18.140625" customWidth="1"/>
    <col min="2" max="2" width="6.42578125" customWidth="1"/>
    <col min="3" max="3" width="6.140625" customWidth="1"/>
    <col min="4" max="4" width="7.28515625" customWidth="1"/>
    <col min="5" max="5" width="5.85546875" customWidth="1"/>
    <col min="6" max="6" width="4.85546875" customWidth="1"/>
    <col min="7" max="7" width="12.85546875" bestFit="1" customWidth="1"/>
    <col min="8" max="8" width="3.42578125" customWidth="1"/>
    <col min="9" max="9" width="5.5703125" bestFit="1" customWidth="1"/>
    <col min="10" max="10" width="6.140625" bestFit="1" customWidth="1"/>
    <col min="11" max="11" width="3.5703125" bestFit="1" customWidth="1"/>
    <col min="12" max="12" width="3" bestFit="1" customWidth="1"/>
  </cols>
  <sheetData>
    <row r="1" spans="1:8" x14ac:dyDescent="0.25">
      <c r="B1" t="s">
        <v>6</v>
      </c>
      <c r="C1" t="s">
        <v>32</v>
      </c>
      <c r="D1" t="s">
        <v>33</v>
      </c>
      <c r="E1" t="s">
        <v>5</v>
      </c>
      <c r="F1" t="s">
        <v>34</v>
      </c>
      <c r="H1" t="s">
        <v>40</v>
      </c>
    </row>
    <row r="2" spans="1:8" x14ac:dyDescent="0.25">
      <c r="A2" t="str">
        <f>C2&amp;"-"&amp;D2&amp;"-"&amp;E2</f>
        <v>2003-MinF-22</v>
      </c>
      <c r="B2" t="s">
        <v>7</v>
      </c>
      <c r="C2">
        <v>2003</v>
      </c>
      <c r="D2" t="s">
        <v>19</v>
      </c>
      <c r="E2">
        <v>22</v>
      </c>
      <c r="F2">
        <v>3</v>
      </c>
    </row>
    <row r="3" spans="1:8" x14ac:dyDescent="0.25">
      <c r="A3" t="str">
        <f t="shared" ref="A3:A66" si="0">C3&amp;"-"&amp;D3&amp;"-"&amp;E3</f>
        <v>2003-MinF-29</v>
      </c>
      <c r="B3" t="s">
        <v>7</v>
      </c>
      <c r="C3">
        <v>2003</v>
      </c>
      <c r="D3" t="s">
        <v>19</v>
      </c>
      <c r="E3">
        <v>29</v>
      </c>
      <c r="F3">
        <v>2</v>
      </c>
    </row>
    <row r="4" spans="1:8" x14ac:dyDescent="0.25">
      <c r="A4" t="str">
        <f t="shared" si="0"/>
        <v>2003-MinF-35</v>
      </c>
      <c r="B4" t="s">
        <v>7</v>
      </c>
      <c r="C4">
        <v>2003</v>
      </c>
      <c r="D4" t="s">
        <v>19</v>
      </c>
      <c r="E4">
        <v>35</v>
      </c>
      <c r="F4">
        <v>3</v>
      </c>
    </row>
    <row r="5" spans="1:8" x14ac:dyDescent="0.25">
      <c r="A5" t="str">
        <f t="shared" si="0"/>
        <v>2003-MinF-56</v>
      </c>
      <c r="B5" t="s">
        <v>7</v>
      </c>
      <c r="C5">
        <v>2003</v>
      </c>
      <c r="D5" t="s">
        <v>19</v>
      </c>
      <c r="E5">
        <v>56</v>
      </c>
      <c r="F5">
        <v>2</v>
      </c>
    </row>
    <row r="6" spans="1:8" x14ac:dyDescent="0.25">
      <c r="A6" t="str">
        <f t="shared" si="0"/>
        <v>2004-BenF-22</v>
      </c>
      <c r="B6" t="s">
        <v>7</v>
      </c>
      <c r="C6">
        <v>2004</v>
      </c>
      <c r="D6" t="s">
        <v>20</v>
      </c>
      <c r="E6">
        <v>22</v>
      </c>
      <c r="F6">
        <v>2</v>
      </c>
    </row>
    <row r="7" spans="1:8" x14ac:dyDescent="0.25">
      <c r="A7" t="str">
        <f t="shared" si="0"/>
        <v>2004-BenF-29</v>
      </c>
      <c r="B7" t="s">
        <v>7</v>
      </c>
      <c r="C7">
        <v>2004</v>
      </c>
      <c r="D7" t="s">
        <v>20</v>
      </c>
      <c r="E7">
        <v>29</v>
      </c>
      <c r="F7">
        <v>1</v>
      </c>
    </row>
    <row r="8" spans="1:8" x14ac:dyDescent="0.25">
      <c r="A8" t="str">
        <f t="shared" si="0"/>
        <v>2004-BenF-35</v>
      </c>
      <c r="B8" t="s">
        <v>7</v>
      </c>
      <c r="C8">
        <v>2004</v>
      </c>
      <c r="D8" t="s">
        <v>20</v>
      </c>
      <c r="E8">
        <v>35</v>
      </c>
      <c r="F8">
        <v>3</v>
      </c>
    </row>
    <row r="9" spans="1:8" x14ac:dyDescent="0.25">
      <c r="A9" t="str">
        <f t="shared" si="0"/>
        <v>2004-BenF-56</v>
      </c>
      <c r="B9" t="s">
        <v>7</v>
      </c>
      <c r="C9">
        <v>2004</v>
      </c>
      <c r="D9" t="s">
        <v>20</v>
      </c>
      <c r="E9">
        <v>56</v>
      </c>
      <c r="F9">
        <v>2</v>
      </c>
    </row>
    <row r="10" spans="1:8" x14ac:dyDescent="0.25">
      <c r="A10" t="str">
        <f t="shared" si="0"/>
        <v>2005-BenF-22</v>
      </c>
      <c r="B10" t="s">
        <v>7</v>
      </c>
      <c r="C10">
        <v>2005</v>
      </c>
      <c r="D10" t="s">
        <v>20</v>
      </c>
      <c r="E10">
        <v>22</v>
      </c>
      <c r="F10">
        <v>3</v>
      </c>
    </row>
    <row r="11" spans="1:8" x14ac:dyDescent="0.25">
      <c r="A11" t="str">
        <f t="shared" si="0"/>
        <v>2005-BenF-35</v>
      </c>
      <c r="B11" t="s">
        <v>7</v>
      </c>
      <c r="C11">
        <v>2005</v>
      </c>
      <c r="D11" t="s">
        <v>20</v>
      </c>
      <c r="E11">
        <v>35</v>
      </c>
      <c r="F11">
        <v>7</v>
      </c>
    </row>
    <row r="12" spans="1:8" x14ac:dyDescent="0.25">
      <c r="A12" t="str">
        <f t="shared" si="0"/>
        <v>2005-BenF-56</v>
      </c>
      <c r="B12" t="s">
        <v>7</v>
      </c>
      <c r="C12">
        <v>2005</v>
      </c>
      <c r="D12" t="s">
        <v>20</v>
      </c>
      <c r="E12">
        <v>56</v>
      </c>
      <c r="F12">
        <v>2</v>
      </c>
    </row>
    <row r="13" spans="1:8" x14ac:dyDescent="0.25">
      <c r="A13" t="str">
        <f t="shared" si="0"/>
        <v>2006-PupF-22</v>
      </c>
      <c r="B13" t="s">
        <v>7</v>
      </c>
      <c r="C13">
        <v>2006</v>
      </c>
      <c r="D13" t="s">
        <v>21</v>
      </c>
      <c r="E13">
        <v>22</v>
      </c>
      <c r="F13">
        <v>3</v>
      </c>
    </row>
    <row r="14" spans="1:8" x14ac:dyDescent="0.25">
      <c r="A14" t="str">
        <f t="shared" si="0"/>
        <v>2006-PupF-29</v>
      </c>
      <c r="B14" t="s">
        <v>7</v>
      </c>
      <c r="C14">
        <v>2006</v>
      </c>
      <c r="D14" t="s">
        <v>21</v>
      </c>
      <c r="E14">
        <v>29</v>
      </c>
      <c r="F14">
        <v>4</v>
      </c>
    </row>
    <row r="15" spans="1:8" x14ac:dyDescent="0.25">
      <c r="A15" t="str">
        <f t="shared" si="0"/>
        <v>2006-PupF-35</v>
      </c>
      <c r="B15" t="s">
        <v>7</v>
      </c>
      <c r="C15">
        <v>2006</v>
      </c>
      <c r="D15" t="s">
        <v>21</v>
      </c>
      <c r="E15">
        <v>35</v>
      </c>
      <c r="F15">
        <v>5</v>
      </c>
    </row>
    <row r="16" spans="1:8" x14ac:dyDescent="0.25">
      <c r="A16" t="str">
        <f t="shared" si="0"/>
        <v>2006-PupF-56</v>
      </c>
      <c r="B16" t="s">
        <v>7</v>
      </c>
      <c r="C16">
        <v>2006</v>
      </c>
      <c r="D16" t="s">
        <v>21</v>
      </c>
      <c r="E16">
        <v>56</v>
      </c>
      <c r="F16">
        <v>4</v>
      </c>
    </row>
    <row r="17" spans="1:12" x14ac:dyDescent="0.25">
      <c r="A17" t="str">
        <f t="shared" si="0"/>
        <v>2007-PupF-35</v>
      </c>
      <c r="B17" t="s">
        <v>7</v>
      </c>
      <c r="C17">
        <v>2007</v>
      </c>
      <c r="D17" t="s">
        <v>21</v>
      </c>
      <c r="E17">
        <v>35</v>
      </c>
      <c r="F17">
        <v>4</v>
      </c>
    </row>
    <row r="18" spans="1:12" x14ac:dyDescent="0.25">
      <c r="A18" t="str">
        <f t="shared" si="0"/>
        <v>2007-PupF-56</v>
      </c>
      <c r="B18" t="s">
        <v>7</v>
      </c>
      <c r="C18">
        <v>2007</v>
      </c>
      <c r="D18" t="s">
        <v>21</v>
      </c>
      <c r="E18">
        <v>56</v>
      </c>
      <c r="F18">
        <v>3</v>
      </c>
    </row>
    <row r="19" spans="1:12" x14ac:dyDescent="0.25">
      <c r="A19" t="str">
        <f t="shared" si="0"/>
        <v>2008-PouF-22</v>
      </c>
      <c r="B19" t="s">
        <v>7</v>
      </c>
      <c r="C19">
        <v>2008</v>
      </c>
      <c r="D19" t="s">
        <v>22</v>
      </c>
      <c r="E19">
        <v>22</v>
      </c>
      <c r="F19">
        <v>2</v>
      </c>
    </row>
    <row r="20" spans="1:12" x14ac:dyDescent="0.25">
      <c r="A20" t="str">
        <f t="shared" si="0"/>
        <v>2008-PouF-29</v>
      </c>
      <c r="B20" t="s">
        <v>7</v>
      </c>
      <c r="C20">
        <v>2008</v>
      </c>
      <c r="D20" t="s">
        <v>22</v>
      </c>
      <c r="E20">
        <v>29</v>
      </c>
      <c r="F20">
        <v>5</v>
      </c>
    </row>
    <row r="21" spans="1:12" x14ac:dyDescent="0.25">
      <c r="A21" t="str">
        <f t="shared" si="0"/>
        <v>2008-PouF-35</v>
      </c>
      <c r="B21" t="s">
        <v>7</v>
      </c>
      <c r="C21">
        <v>2008</v>
      </c>
      <c r="D21" t="s">
        <v>22</v>
      </c>
      <c r="E21">
        <v>35</v>
      </c>
      <c r="F21">
        <v>10</v>
      </c>
    </row>
    <row r="22" spans="1:12" x14ac:dyDescent="0.25">
      <c r="A22" t="str">
        <f t="shared" si="0"/>
        <v>2008-PouF-56</v>
      </c>
      <c r="B22" t="s">
        <v>7</v>
      </c>
      <c r="C22">
        <v>2008</v>
      </c>
      <c r="D22" t="s">
        <v>22</v>
      </c>
      <c r="E22">
        <v>56</v>
      </c>
      <c r="F22">
        <v>3</v>
      </c>
    </row>
    <row r="23" spans="1:12" x14ac:dyDescent="0.25">
      <c r="A23" t="str">
        <f t="shared" si="0"/>
        <v>2009-PouF-22</v>
      </c>
      <c r="B23" t="s">
        <v>7</v>
      </c>
      <c r="C23">
        <v>2009</v>
      </c>
      <c r="D23" t="s">
        <v>22</v>
      </c>
      <c r="E23">
        <v>22</v>
      </c>
      <c r="F23">
        <v>3</v>
      </c>
    </row>
    <row r="24" spans="1:12" x14ac:dyDescent="0.25">
      <c r="A24" t="str">
        <f t="shared" si="0"/>
        <v>2009-PouF-29</v>
      </c>
      <c r="B24" t="s">
        <v>7</v>
      </c>
      <c r="C24">
        <v>2009</v>
      </c>
      <c r="D24" t="s">
        <v>22</v>
      </c>
      <c r="E24">
        <v>29</v>
      </c>
      <c r="F24">
        <v>1</v>
      </c>
    </row>
    <row r="25" spans="1:12" x14ac:dyDescent="0.25">
      <c r="A25" t="str">
        <f t="shared" si="0"/>
        <v>2009-PouF-35</v>
      </c>
      <c r="B25" t="s">
        <v>7</v>
      </c>
      <c r="C25">
        <v>2009</v>
      </c>
      <c r="D25" t="s">
        <v>22</v>
      </c>
      <c r="E25">
        <v>35</v>
      </c>
      <c r="F25">
        <v>7</v>
      </c>
    </row>
    <row r="26" spans="1:12" x14ac:dyDescent="0.25">
      <c r="A26" t="str">
        <f t="shared" si="0"/>
        <v>2009-PouF-56</v>
      </c>
      <c r="B26" t="s">
        <v>7</v>
      </c>
      <c r="C26">
        <v>2009</v>
      </c>
      <c r="D26" t="s">
        <v>22</v>
      </c>
      <c r="E26">
        <v>56</v>
      </c>
      <c r="F26">
        <v>9</v>
      </c>
    </row>
    <row r="27" spans="1:12" x14ac:dyDescent="0.25">
      <c r="A27" t="str">
        <f t="shared" si="0"/>
        <v>2010-PpoF-22</v>
      </c>
      <c r="B27" s="18" t="s">
        <v>7</v>
      </c>
      <c r="C27" s="18">
        <v>2010</v>
      </c>
      <c r="D27" s="18" t="s">
        <v>23</v>
      </c>
      <c r="E27" s="18">
        <v>22</v>
      </c>
      <c r="F27" s="18">
        <v>3</v>
      </c>
      <c r="H27" s="18"/>
      <c r="I27" s="18"/>
      <c r="J27" s="18"/>
      <c r="K27" s="18"/>
      <c r="L27" s="18"/>
    </row>
    <row r="28" spans="1:12" x14ac:dyDescent="0.25">
      <c r="A28" t="str">
        <f t="shared" si="0"/>
        <v>2010-PpoF-29</v>
      </c>
      <c r="B28" t="s">
        <v>7</v>
      </c>
      <c r="C28">
        <v>2010</v>
      </c>
      <c r="D28" t="s">
        <v>23</v>
      </c>
      <c r="E28">
        <v>29</v>
      </c>
      <c r="F28">
        <v>1</v>
      </c>
    </row>
    <row r="29" spans="1:12" x14ac:dyDescent="0.25">
      <c r="A29" t="str">
        <f t="shared" si="0"/>
        <v>2010-PpoF-35</v>
      </c>
      <c r="B29" t="s">
        <v>7</v>
      </c>
      <c r="C29">
        <v>2010</v>
      </c>
      <c r="D29" t="s">
        <v>23</v>
      </c>
      <c r="E29">
        <v>35</v>
      </c>
      <c r="F29">
        <v>3</v>
      </c>
    </row>
    <row r="30" spans="1:12" x14ac:dyDescent="0.25">
      <c r="A30" t="str">
        <f t="shared" si="0"/>
        <v>2011-PpoF-35</v>
      </c>
      <c r="B30" t="s">
        <v>7</v>
      </c>
      <c r="C30">
        <v>2011</v>
      </c>
      <c r="D30" t="s">
        <v>23</v>
      </c>
      <c r="E30">
        <v>35</v>
      </c>
      <c r="F30">
        <v>3</v>
      </c>
    </row>
    <row r="31" spans="1:12" x14ac:dyDescent="0.25">
      <c r="A31" t="str">
        <f t="shared" si="0"/>
        <v>2011-PpoF-56</v>
      </c>
      <c r="B31" t="s">
        <v>7</v>
      </c>
      <c r="C31">
        <v>2011</v>
      </c>
      <c r="D31" t="s">
        <v>23</v>
      </c>
      <c r="E31">
        <v>56</v>
      </c>
      <c r="F31">
        <v>1</v>
      </c>
    </row>
    <row r="32" spans="1:12" x14ac:dyDescent="0.25">
      <c r="A32" t="str">
        <f t="shared" si="0"/>
        <v>2012-PpoF-35</v>
      </c>
      <c r="B32" t="s">
        <v>7</v>
      </c>
      <c r="C32">
        <v>2012</v>
      </c>
      <c r="D32" t="s">
        <v>23</v>
      </c>
      <c r="E32">
        <v>35</v>
      </c>
      <c r="F32">
        <v>1</v>
      </c>
    </row>
    <row r="33" spans="1:6" x14ac:dyDescent="0.25">
      <c r="A33" t="str">
        <f t="shared" si="0"/>
        <v>2003-MinM-22</v>
      </c>
      <c r="B33" t="s">
        <v>8</v>
      </c>
      <c r="C33">
        <v>2003</v>
      </c>
      <c r="D33" t="s">
        <v>16</v>
      </c>
      <c r="E33">
        <v>22</v>
      </c>
      <c r="F33">
        <v>8</v>
      </c>
    </row>
    <row r="34" spans="1:6" x14ac:dyDescent="0.25">
      <c r="A34" t="str">
        <f t="shared" si="0"/>
        <v>2003-MinM-29</v>
      </c>
      <c r="B34" t="s">
        <v>8</v>
      </c>
      <c r="C34">
        <v>2003</v>
      </c>
      <c r="D34" t="s">
        <v>16</v>
      </c>
      <c r="E34">
        <v>29</v>
      </c>
      <c r="F34">
        <v>7</v>
      </c>
    </row>
    <row r="35" spans="1:6" x14ac:dyDescent="0.25">
      <c r="A35" t="str">
        <f t="shared" si="0"/>
        <v>2003-MinM-35</v>
      </c>
      <c r="B35" t="s">
        <v>8</v>
      </c>
      <c r="C35">
        <v>2003</v>
      </c>
      <c r="D35" t="s">
        <v>16</v>
      </c>
      <c r="E35">
        <v>35</v>
      </c>
      <c r="F35">
        <v>16</v>
      </c>
    </row>
    <row r="36" spans="1:6" x14ac:dyDescent="0.25">
      <c r="A36" t="str">
        <f t="shared" si="0"/>
        <v>2003-MinM-56</v>
      </c>
      <c r="B36" t="s">
        <v>8</v>
      </c>
      <c r="C36">
        <v>2003</v>
      </c>
      <c r="D36" t="s">
        <v>16</v>
      </c>
      <c r="E36">
        <v>56</v>
      </c>
      <c r="F36">
        <v>8</v>
      </c>
    </row>
    <row r="37" spans="1:6" x14ac:dyDescent="0.25">
      <c r="A37" t="str">
        <f t="shared" si="0"/>
        <v>2004-BenM-22</v>
      </c>
      <c r="B37" t="s">
        <v>8</v>
      </c>
      <c r="C37">
        <v>2004</v>
      </c>
      <c r="D37" t="s">
        <v>17</v>
      </c>
      <c r="E37">
        <v>22</v>
      </c>
      <c r="F37">
        <v>8</v>
      </c>
    </row>
    <row r="38" spans="1:6" x14ac:dyDescent="0.25">
      <c r="A38" t="str">
        <f t="shared" si="0"/>
        <v>2004-BenM-29</v>
      </c>
      <c r="B38" t="s">
        <v>8</v>
      </c>
      <c r="C38">
        <v>2004</v>
      </c>
      <c r="D38" t="s">
        <v>17</v>
      </c>
      <c r="E38">
        <v>29</v>
      </c>
      <c r="F38">
        <v>13</v>
      </c>
    </row>
    <row r="39" spans="1:6" x14ac:dyDescent="0.25">
      <c r="A39" t="str">
        <f t="shared" si="0"/>
        <v>2004-BenM-35</v>
      </c>
      <c r="B39" t="s">
        <v>8</v>
      </c>
      <c r="C39">
        <v>2004</v>
      </c>
      <c r="D39" t="s">
        <v>17</v>
      </c>
      <c r="E39">
        <v>35</v>
      </c>
      <c r="F39">
        <v>23</v>
      </c>
    </row>
    <row r="40" spans="1:6" x14ac:dyDescent="0.25">
      <c r="A40" t="str">
        <f t="shared" si="0"/>
        <v>2004-BenM-56</v>
      </c>
      <c r="B40" t="s">
        <v>8</v>
      </c>
      <c r="C40">
        <v>2004</v>
      </c>
      <c r="D40" t="s">
        <v>17</v>
      </c>
      <c r="E40">
        <v>56</v>
      </c>
      <c r="F40">
        <v>9</v>
      </c>
    </row>
    <row r="41" spans="1:6" x14ac:dyDescent="0.25">
      <c r="A41" t="str">
        <f t="shared" si="0"/>
        <v>2005-BenM-22</v>
      </c>
      <c r="B41" t="s">
        <v>8</v>
      </c>
      <c r="C41">
        <v>2005</v>
      </c>
      <c r="D41" t="s">
        <v>17</v>
      </c>
      <c r="E41">
        <v>22</v>
      </c>
      <c r="F41">
        <v>13</v>
      </c>
    </row>
    <row r="42" spans="1:6" x14ac:dyDescent="0.25">
      <c r="A42" t="str">
        <f t="shared" si="0"/>
        <v>2005-BenM-29</v>
      </c>
      <c r="B42" t="s">
        <v>8</v>
      </c>
      <c r="C42">
        <v>2005</v>
      </c>
      <c r="D42" t="s">
        <v>17</v>
      </c>
      <c r="E42">
        <v>29</v>
      </c>
      <c r="F42">
        <v>12</v>
      </c>
    </row>
    <row r="43" spans="1:6" x14ac:dyDescent="0.25">
      <c r="A43" t="str">
        <f t="shared" si="0"/>
        <v>2005-BenM-35</v>
      </c>
      <c r="B43" t="s">
        <v>8</v>
      </c>
      <c r="C43">
        <v>2005</v>
      </c>
      <c r="D43" t="s">
        <v>17</v>
      </c>
      <c r="E43">
        <v>35</v>
      </c>
      <c r="F43">
        <v>20</v>
      </c>
    </row>
    <row r="44" spans="1:6" x14ac:dyDescent="0.25">
      <c r="A44" t="str">
        <f t="shared" si="0"/>
        <v>2005-BenM-56</v>
      </c>
      <c r="B44" t="s">
        <v>8</v>
      </c>
      <c r="C44">
        <v>2005</v>
      </c>
      <c r="D44" t="s">
        <v>17</v>
      </c>
      <c r="E44">
        <v>56</v>
      </c>
      <c r="F44">
        <v>15</v>
      </c>
    </row>
    <row r="45" spans="1:6" x14ac:dyDescent="0.25">
      <c r="A45" t="str">
        <f t="shared" si="0"/>
        <v>2006-PupM-22</v>
      </c>
      <c r="B45" t="s">
        <v>8</v>
      </c>
      <c r="C45">
        <v>2006</v>
      </c>
      <c r="D45" t="s">
        <v>18</v>
      </c>
      <c r="E45">
        <v>22</v>
      </c>
      <c r="F45">
        <v>10</v>
      </c>
    </row>
    <row r="46" spans="1:6" x14ac:dyDescent="0.25">
      <c r="A46" t="str">
        <f t="shared" si="0"/>
        <v>2006-PupM-29</v>
      </c>
      <c r="B46" t="s">
        <v>8</v>
      </c>
      <c r="C46">
        <v>2006</v>
      </c>
      <c r="D46" t="s">
        <v>18</v>
      </c>
      <c r="E46">
        <v>29</v>
      </c>
      <c r="F46">
        <v>13</v>
      </c>
    </row>
    <row r="47" spans="1:6" x14ac:dyDescent="0.25">
      <c r="A47" t="str">
        <f t="shared" si="0"/>
        <v>2006-PupM-35</v>
      </c>
      <c r="B47" t="s">
        <v>8</v>
      </c>
      <c r="C47">
        <v>2006</v>
      </c>
      <c r="D47" t="s">
        <v>18</v>
      </c>
      <c r="E47">
        <v>35</v>
      </c>
      <c r="F47">
        <v>23</v>
      </c>
    </row>
    <row r="48" spans="1:6" x14ac:dyDescent="0.25">
      <c r="A48" t="str">
        <f t="shared" si="0"/>
        <v>2006-PupM-56</v>
      </c>
      <c r="B48" t="s">
        <v>8</v>
      </c>
      <c r="C48">
        <v>2006</v>
      </c>
      <c r="D48" t="s">
        <v>18</v>
      </c>
      <c r="E48">
        <v>56</v>
      </c>
      <c r="F48">
        <v>15</v>
      </c>
    </row>
    <row r="49" spans="1:6" x14ac:dyDescent="0.25">
      <c r="A49" t="str">
        <f t="shared" si="0"/>
        <v>2007-PupM-22</v>
      </c>
      <c r="B49" t="s">
        <v>8</v>
      </c>
      <c r="C49">
        <v>2007</v>
      </c>
      <c r="D49" t="s">
        <v>18</v>
      </c>
      <c r="E49">
        <v>22</v>
      </c>
      <c r="F49">
        <v>12</v>
      </c>
    </row>
    <row r="50" spans="1:6" x14ac:dyDescent="0.25">
      <c r="A50" t="str">
        <f t="shared" si="0"/>
        <v>2007-PupM-29</v>
      </c>
      <c r="B50" t="s">
        <v>8</v>
      </c>
      <c r="C50">
        <v>2007</v>
      </c>
      <c r="D50" t="s">
        <v>18</v>
      </c>
      <c r="E50">
        <v>29</v>
      </c>
      <c r="F50">
        <v>18</v>
      </c>
    </row>
    <row r="51" spans="1:6" x14ac:dyDescent="0.25">
      <c r="A51" t="str">
        <f t="shared" si="0"/>
        <v>2007-PupM-35</v>
      </c>
      <c r="B51" t="s">
        <v>8</v>
      </c>
      <c r="C51">
        <v>2007</v>
      </c>
      <c r="D51" t="s">
        <v>18</v>
      </c>
      <c r="E51">
        <v>35</v>
      </c>
      <c r="F51">
        <v>35</v>
      </c>
    </row>
    <row r="52" spans="1:6" x14ac:dyDescent="0.25">
      <c r="A52" t="str">
        <f t="shared" si="0"/>
        <v>2007-PupM-56</v>
      </c>
      <c r="B52" t="s">
        <v>8</v>
      </c>
      <c r="C52">
        <v>2007</v>
      </c>
      <c r="D52" t="s">
        <v>18</v>
      </c>
      <c r="E52">
        <v>56</v>
      </c>
      <c r="F52">
        <v>23</v>
      </c>
    </row>
    <row r="53" spans="1:6" x14ac:dyDescent="0.25">
      <c r="A53" t="str">
        <f t="shared" si="0"/>
        <v>2008-PouM-22</v>
      </c>
      <c r="B53" t="s">
        <v>8</v>
      </c>
      <c r="C53">
        <v>2008</v>
      </c>
      <c r="D53" t="s">
        <v>24</v>
      </c>
      <c r="E53">
        <v>22</v>
      </c>
      <c r="F53">
        <v>8</v>
      </c>
    </row>
    <row r="54" spans="1:6" x14ac:dyDescent="0.25">
      <c r="A54" t="str">
        <f t="shared" si="0"/>
        <v>2008-PouM-29</v>
      </c>
      <c r="B54" t="s">
        <v>8</v>
      </c>
      <c r="C54">
        <v>2008</v>
      </c>
      <c r="D54" t="s">
        <v>24</v>
      </c>
      <c r="E54">
        <v>29</v>
      </c>
      <c r="F54">
        <v>13</v>
      </c>
    </row>
    <row r="55" spans="1:6" x14ac:dyDescent="0.25">
      <c r="A55" t="str">
        <f t="shared" si="0"/>
        <v>2008-PouM-35</v>
      </c>
      <c r="B55" t="s">
        <v>8</v>
      </c>
      <c r="C55">
        <v>2008</v>
      </c>
      <c r="D55" t="s">
        <v>24</v>
      </c>
      <c r="E55">
        <v>35</v>
      </c>
      <c r="F55">
        <v>30</v>
      </c>
    </row>
    <row r="56" spans="1:6" x14ac:dyDescent="0.25">
      <c r="A56" t="str">
        <f t="shared" si="0"/>
        <v>2008-PouM-56</v>
      </c>
      <c r="B56" t="s">
        <v>8</v>
      </c>
      <c r="C56">
        <v>2008</v>
      </c>
      <c r="D56" t="s">
        <v>24</v>
      </c>
      <c r="E56">
        <v>56</v>
      </c>
      <c r="F56">
        <v>26</v>
      </c>
    </row>
    <row r="57" spans="1:6" x14ac:dyDescent="0.25">
      <c r="A57" t="str">
        <f t="shared" si="0"/>
        <v>2009-PouM-22</v>
      </c>
      <c r="B57" t="s">
        <v>8</v>
      </c>
      <c r="C57">
        <v>2009</v>
      </c>
      <c r="D57" t="s">
        <v>24</v>
      </c>
      <c r="E57">
        <v>22</v>
      </c>
      <c r="F57">
        <v>8</v>
      </c>
    </row>
    <row r="58" spans="1:6" x14ac:dyDescent="0.25">
      <c r="A58" t="str">
        <f t="shared" si="0"/>
        <v>2009-PouM-29</v>
      </c>
      <c r="B58" t="s">
        <v>8</v>
      </c>
      <c r="C58">
        <v>2009</v>
      </c>
      <c r="D58" t="s">
        <v>24</v>
      </c>
      <c r="E58">
        <v>29</v>
      </c>
      <c r="F58">
        <v>5</v>
      </c>
    </row>
    <row r="59" spans="1:6" x14ac:dyDescent="0.25">
      <c r="A59" t="str">
        <f t="shared" si="0"/>
        <v>2009-PouM-35</v>
      </c>
      <c r="B59" t="s">
        <v>8</v>
      </c>
      <c r="C59">
        <v>2009</v>
      </c>
      <c r="D59" t="s">
        <v>24</v>
      </c>
      <c r="E59">
        <v>35</v>
      </c>
      <c r="F59">
        <v>23</v>
      </c>
    </row>
    <row r="60" spans="1:6" x14ac:dyDescent="0.25">
      <c r="A60" t="str">
        <f t="shared" si="0"/>
        <v>2009-PouM-56</v>
      </c>
      <c r="B60" t="s">
        <v>8</v>
      </c>
      <c r="C60">
        <v>2009</v>
      </c>
      <c r="D60" t="s">
        <v>24</v>
      </c>
      <c r="E60">
        <v>56</v>
      </c>
      <c r="F60">
        <v>22</v>
      </c>
    </row>
    <row r="61" spans="1:6" x14ac:dyDescent="0.25">
      <c r="A61" t="str">
        <f t="shared" si="0"/>
        <v>2010-PpoM-22</v>
      </c>
      <c r="B61" t="s">
        <v>8</v>
      </c>
      <c r="C61">
        <v>2010</v>
      </c>
      <c r="D61" t="s">
        <v>25</v>
      </c>
      <c r="E61">
        <v>22</v>
      </c>
      <c r="F61">
        <v>7</v>
      </c>
    </row>
    <row r="62" spans="1:6" x14ac:dyDescent="0.25">
      <c r="A62" t="str">
        <f t="shared" si="0"/>
        <v>2010-PpoM-29</v>
      </c>
      <c r="B62" t="s">
        <v>8</v>
      </c>
      <c r="C62">
        <v>2010</v>
      </c>
      <c r="D62" t="s">
        <v>25</v>
      </c>
      <c r="E62">
        <v>29</v>
      </c>
      <c r="F62">
        <v>8</v>
      </c>
    </row>
    <row r="63" spans="1:6" x14ac:dyDescent="0.25">
      <c r="A63" t="str">
        <f t="shared" si="0"/>
        <v>2010-PpoM-35</v>
      </c>
      <c r="B63" t="s">
        <v>8</v>
      </c>
      <c r="C63">
        <v>2010</v>
      </c>
      <c r="D63" t="s">
        <v>25</v>
      </c>
      <c r="E63">
        <v>35</v>
      </c>
      <c r="F63">
        <v>18</v>
      </c>
    </row>
    <row r="64" spans="1:6" x14ac:dyDescent="0.25">
      <c r="A64" t="str">
        <f t="shared" si="0"/>
        <v>2010-PpoM-56</v>
      </c>
      <c r="B64" t="s">
        <v>8</v>
      </c>
      <c r="C64">
        <v>2010</v>
      </c>
      <c r="D64" t="s">
        <v>25</v>
      </c>
      <c r="E64">
        <v>56</v>
      </c>
      <c r="F64">
        <v>12</v>
      </c>
    </row>
    <row r="65" spans="1:6" x14ac:dyDescent="0.25">
      <c r="A65" t="str">
        <f t="shared" si="0"/>
        <v>2011-PpoM-22</v>
      </c>
      <c r="B65" t="s">
        <v>8</v>
      </c>
      <c r="C65">
        <v>2011</v>
      </c>
      <c r="D65" t="s">
        <v>25</v>
      </c>
      <c r="E65">
        <v>22</v>
      </c>
      <c r="F65">
        <v>2</v>
      </c>
    </row>
    <row r="66" spans="1:6" x14ac:dyDescent="0.25">
      <c r="A66" t="str">
        <f t="shared" si="0"/>
        <v>2011-PpoM-29</v>
      </c>
      <c r="B66" t="s">
        <v>8</v>
      </c>
      <c r="C66">
        <v>2011</v>
      </c>
      <c r="D66" t="s">
        <v>25</v>
      </c>
      <c r="E66">
        <v>29</v>
      </c>
      <c r="F66">
        <v>3</v>
      </c>
    </row>
    <row r="67" spans="1:6" x14ac:dyDescent="0.25">
      <c r="A67" t="str">
        <f t="shared" ref="A67:A70" si="1">C67&amp;"-"&amp;D67&amp;"-"&amp;E67</f>
        <v>2011-PpoM-35</v>
      </c>
      <c r="B67" t="s">
        <v>8</v>
      </c>
      <c r="C67">
        <v>2011</v>
      </c>
      <c r="D67" t="s">
        <v>25</v>
      </c>
      <c r="E67">
        <v>35</v>
      </c>
      <c r="F67">
        <v>7</v>
      </c>
    </row>
    <row r="68" spans="1:6" x14ac:dyDescent="0.25">
      <c r="A68" t="str">
        <f t="shared" si="1"/>
        <v>2011-PpoM-56</v>
      </c>
      <c r="B68" t="s">
        <v>8</v>
      </c>
      <c r="C68">
        <v>2011</v>
      </c>
      <c r="D68" t="s">
        <v>25</v>
      </c>
      <c r="E68">
        <v>56</v>
      </c>
      <c r="F68">
        <v>8</v>
      </c>
    </row>
    <row r="69" spans="1:6" x14ac:dyDescent="0.25">
      <c r="A69" t="str">
        <f t="shared" si="1"/>
        <v>2012-PpoM-22</v>
      </c>
      <c r="B69" t="s">
        <v>8</v>
      </c>
      <c r="C69">
        <v>2012</v>
      </c>
      <c r="D69" t="s">
        <v>25</v>
      </c>
      <c r="E69">
        <v>22</v>
      </c>
      <c r="F69">
        <v>2</v>
      </c>
    </row>
    <row r="70" spans="1:6" x14ac:dyDescent="0.25">
      <c r="A70" t="str">
        <f t="shared" si="1"/>
        <v>2012-PpoM-35</v>
      </c>
      <c r="B70" t="s">
        <v>8</v>
      </c>
      <c r="C70">
        <v>2012</v>
      </c>
      <c r="D70" t="s">
        <v>25</v>
      </c>
      <c r="E70">
        <v>35</v>
      </c>
      <c r="F70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1"/>
  <sheetViews>
    <sheetView workbookViewId="0">
      <selection activeCell="B15" sqref="B15:M26"/>
    </sheetView>
  </sheetViews>
  <sheetFormatPr baseColWidth="10" defaultColWidth="9.140625" defaultRowHeight="15.75" x14ac:dyDescent="0.25"/>
  <cols>
    <col min="1" max="1" width="1" style="23" customWidth="1"/>
    <col min="2" max="2" width="11" style="23" customWidth="1"/>
    <col min="3" max="3" width="11.85546875" style="23" customWidth="1"/>
    <col min="4" max="7" width="5.42578125" style="23" customWidth="1"/>
    <col min="8" max="8" width="11.85546875" style="23" customWidth="1"/>
    <col min="9" max="13" width="5.42578125" style="23" customWidth="1"/>
    <col min="14" max="14" width="4.28515625" style="23" customWidth="1"/>
    <col min="15" max="15" width="3.5703125" style="59" customWidth="1"/>
    <col min="16" max="16" width="5.85546875" style="59" customWidth="1"/>
    <col min="17" max="17" width="3.7109375" style="59" customWidth="1"/>
    <col min="18" max="18" width="6.140625" style="59" customWidth="1"/>
    <col min="19" max="19" width="4.42578125" style="59" customWidth="1"/>
    <col min="20" max="20" width="9.85546875" style="59" customWidth="1"/>
    <col min="21" max="21" width="9.140625" style="59"/>
    <col min="22" max="22" width="3.5703125" style="23" customWidth="1"/>
    <col min="23" max="23" width="3.5703125" style="59" customWidth="1"/>
    <col min="24" max="24" width="5.85546875" style="59" customWidth="1"/>
    <col min="25" max="25" width="3.7109375" style="59" customWidth="1"/>
    <col min="26" max="26" width="9.85546875" style="59" customWidth="1"/>
    <col min="27" max="27" width="9.140625" style="59"/>
    <col min="28" max="16384" width="9.140625" style="23"/>
  </cols>
  <sheetData>
    <row r="2" spans="2:27" ht="15" customHeight="1" x14ac:dyDescent="0.25">
      <c r="B2" s="96" t="s">
        <v>28</v>
      </c>
      <c r="C2" s="96" t="s">
        <v>41</v>
      </c>
      <c r="D2" s="97" t="s">
        <v>43</v>
      </c>
      <c r="E2" s="97"/>
      <c r="F2" s="97"/>
      <c r="G2" s="97"/>
      <c r="H2" s="96" t="s">
        <v>42</v>
      </c>
      <c r="I2" s="97" t="s">
        <v>39</v>
      </c>
      <c r="J2" s="97"/>
      <c r="K2" s="97"/>
      <c r="L2" s="97"/>
      <c r="M2" s="94"/>
      <c r="O2" s="59" t="s">
        <v>7</v>
      </c>
      <c r="P2" s="59" t="s">
        <v>10</v>
      </c>
      <c r="Q2" s="59" t="str">
        <f>IF(ISBLANK(O2),Q1,O2)</f>
        <v>F</v>
      </c>
      <c r="R2" s="59" t="str">
        <f>IF(ISBLANK(P2),R1,P2)</f>
        <v>Min</v>
      </c>
      <c r="S2" s="59">
        <v>22</v>
      </c>
      <c r="T2" s="105" t="str">
        <f>R2&amp;Q2&amp;S2</f>
        <v>MinF22</v>
      </c>
      <c r="U2" s="105">
        <f>I4</f>
        <v>5</v>
      </c>
      <c r="W2" s="59" t="s">
        <v>7</v>
      </c>
      <c r="X2" s="59" t="s">
        <v>10</v>
      </c>
      <c r="Y2" s="59" t="str">
        <f>IF(ISBLANK(W2),Y1,W2)</f>
        <v>F</v>
      </c>
      <c r="Z2" s="105" t="str">
        <f>X2&amp;Y2</f>
        <v>MinF</v>
      </c>
      <c r="AA2" s="105">
        <f>M4</f>
        <v>18</v>
      </c>
    </row>
    <row r="3" spans="2:27" ht="16.5" thickBot="1" x14ac:dyDescent="0.3">
      <c r="B3" s="96"/>
      <c r="C3" s="97"/>
      <c r="D3" s="24">
        <v>22</v>
      </c>
      <c r="E3" s="24">
        <v>29</v>
      </c>
      <c r="F3" s="24">
        <v>35</v>
      </c>
      <c r="G3" s="24">
        <v>56</v>
      </c>
      <c r="H3" s="97"/>
      <c r="I3" s="25">
        <f>D3</f>
        <v>22</v>
      </c>
      <c r="J3" s="25">
        <f>E3</f>
        <v>29</v>
      </c>
      <c r="K3" s="25">
        <f>F3</f>
        <v>35</v>
      </c>
      <c r="L3" s="25">
        <f>G3</f>
        <v>56</v>
      </c>
      <c r="M3" s="25" t="s">
        <v>29</v>
      </c>
      <c r="Q3" s="59" t="str">
        <f t="shared" ref="Q3:Q41" si="0">IF(ISBLANK(O3),Q2,O3)</f>
        <v>F</v>
      </c>
      <c r="R3" s="59" t="str">
        <f t="shared" ref="R3:R41" si="1">IF(ISBLANK(P3),R2,P3)</f>
        <v>Min</v>
      </c>
      <c r="S3" s="59">
        <v>29</v>
      </c>
      <c r="T3" s="105" t="str">
        <f>R3&amp;Q3&amp;S3</f>
        <v>MinF29</v>
      </c>
      <c r="U3" s="105">
        <f>J4</f>
        <v>3</v>
      </c>
      <c r="X3" s="59" t="s">
        <v>11</v>
      </c>
      <c r="Y3" s="59" t="str">
        <f t="shared" ref="Y3:Y11" si="2">IF(ISBLANK(W3),Y2,W3)</f>
        <v>F</v>
      </c>
      <c r="Z3" s="105" t="str">
        <f t="shared" ref="Z3:Z11" si="3">X3&amp;Y3</f>
        <v>BenF</v>
      </c>
      <c r="AA3" s="105">
        <f>M6</f>
        <v>28</v>
      </c>
    </row>
    <row r="4" spans="2:27" ht="16.5" thickBot="1" x14ac:dyDescent="0.3">
      <c r="B4" s="36">
        <v>2003</v>
      </c>
      <c r="C4" s="37" t="s">
        <v>19</v>
      </c>
      <c r="D4" s="28">
        <f>IF(ISNA(VLOOKUP($B4&amp;"-"&amp;$C4&amp;"-"&amp;D$3,'Extraction Effectifs 20180831'!$A:$F,6,FALSE)),0,VLOOKUP($B4&amp;"-"&amp;$C4&amp;"-"&amp;D$3,'Extraction Effectifs 20180831'!$A:$F,6,FALSE))</f>
        <v>3</v>
      </c>
      <c r="E4" s="29">
        <f>IF(ISNA(VLOOKUP($B4&amp;"-"&amp;$C4&amp;"-"&amp;E$3,'Extraction Effectifs 20180831'!$A:$F,6,FALSE)),0,VLOOKUP($B4&amp;"-"&amp;$C4&amp;"-"&amp;E$3,'Extraction Effectifs 20180831'!$A:$F,6,FALSE))</f>
        <v>2</v>
      </c>
      <c r="F4" s="29">
        <f>IF(ISNA(VLOOKUP($B4&amp;"-"&amp;$C4&amp;"-"&amp;F$3,'Extraction Effectifs 20180831'!$A:$F,6,FALSE)),0,VLOOKUP($B4&amp;"-"&amp;$C4&amp;"-"&amp;F$3,'Extraction Effectifs 20180831'!$A:$F,6,FALSE))</f>
        <v>3</v>
      </c>
      <c r="G4" s="29">
        <f>IF(ISNA(VLOOKUP($B4&amp;"-"&amp;$C4&amp;"-"&amp;G$3,'Extraction Effectifs 20180831'!$A:$F,6,FALSE)),0,VLOOKUP($B4&amp;"-"&amp;$C4&amp;"-"&amp;G$3,'Extraction Effectifs 20180831'!$A:$F,6,FALSE))</f>
        <v>2</v>
      </c>
      <c r="H4" s="98" t="str">
        <f>C4</f>
        <v>MinF</v>
      </c>
      <c r="I4" s="98">
        <f>D4+D5</f>
        <v>5</v>
      </c>
      <c r="J4" s="98">
        <f>E4+E5</f>
        <v>3</v>
      </c>
      <c r="K4" s="98">
        <f>F4+F5</f>
        <v>6</v>
      </c>
      <c r="L4" s="100">
        <f>G4+G5</f>
        <v>4</v>
      </c>
      <c r="M4" s="100">
        <f>SUM(I4:L5)</f>
        <v>18</v>
      </c>
      <c r="Q4" s="59" t="str">
        <f t="shared" si="0"/>
        <v>F</v>
      </c>
      <c r="R4" s="59" t="str">
        <f t="shared" si="1"/>
        <v>Min</v>
      </c>
      <c r="S4" s="59">
        <v>35</v>
      </c>
      <c r="T4" s="105" t="str">
        <f>R4&amp;Q4&amp;S4</f>
        <v>MinF35</v>
      </c>
      <c r="U4" s="105">
        <f>K4</f>
        <v>6</v>
      </c>
      <c r="X4" s="59" t="s">
        <v>12</v>
      </c>
      <c r="Y4" s="59" t="str">
        <f t="shared" si="2"/>
        <v>F</v>
      </c>
      <c r="Z4" s="105" t="str">
        <f t="shared" si="3"/>
        <v>PupF</v>
      </c>
      <c r="AA4" s="105">
        <f>M8</f>
        <v>27</v>
      </c>
    </row>
    <row r="5" spans="2:27" ht="16.5" thickBot="1" x14ac:dyDescent="0.3">
      <c r="B5" s="28">
        <f>B4+1</f>
        <v>2004</v>
      </c>
      <c r="C5" s="33" t="s">
        <v>20</v>
      </c>
      <c r="D5" s="30">
        <f>IF(ISNA(VLOOKUP($B5&amp;"-"&amp;$C5&amp;"-"&amp;D$3,'Extraction Effectifs 20180831'!$A:$F,6,FALSE)),0,VLOOKUP($B5&amp;"-"&amp;$C5&amp;"-"&amp;D$3,'Extraction Effectifs 20180831'!$A:$F,6,FALSE))</f>
        <v>2</v>
      </c>
      <c r="E5" s="31">
        <f>IF(ISNA(VLOOKUP($B5&amp;"-"&amp;$C5&amp;"-"&amp;E$3,'Extraction Effectifs 20180831'!$A:$F,6,FALSE)),0,VLOOKUP($B5&amp;"-"&amp;$C5&amp;"-"&amp;E$3,'Extraction Effectifs 20180831'!$A:$F,6,FALSE))</f>
        <v>1</v>
      </c>
      <c r="F5" s="31">
        <f>IF(ISNA(VLOOKUP($B5&amp;"-"&amp;$C5&amp;"-"&amp;F$3,'Extraction Effectifs 20180831'!$A:$F,6,FALSE)),0,VLOOKUP($B5&amp;"-"&amp;$C5&amp;"-"&amp;F$3,'Extraction Effectifs 20180831'!$A:$F,6,FALSE))</f>
        <v>3</v>
      </c>
      <c r="G5" s="31">
        <f>IF(ISNA(VLOOKUP($B5&amp;"-"&amp;$C5&amp;"-"&amp;G$3,'Extraction Effectifs 20180831'!$A:$F,6,FALSE)),0,VLOOKUP($B5&amp;"-"&amp;$C5&amp;"-"&amp;G$3,'Extraction Effectifs 20180831'!$A:$F,6,FALSE))</f>
        <v>2</v>
      </c>
      <c r="H5" s="99"/>
      <c r="I5" s="99"/>
      <c r="J5" s="99"/>
      <c r="K5" s="99"/>
      <c r="L5" s="101"/>
      <c r="M5" s="101"/>
      <c r="Q5" s="59" t="str">
        <f t="shared" si="0"/>
        <v>F</v>
      </c>
      <c r="R5" s="59" t="str">
        <f t="shared" si="1"/>
        <v>Min</v>
      </c>
      <c r="S5" s="59">
        <v>56</v>
      </c>
      <c r="T5" s="105" t="str">
        <f>R5&amp;Q5&amp;S5</f>
        <v>MinF56</v>
      </c>
      <c r="U5" s="105">
        <f>L4</f>
        <v>4</v>
      </c>
      <c r="X5" s="59" t="s">
        <v>13</v>
      </c>
      <c r="Y5" s="59" t="str">
        <f t="shared" si="2"/>
        <v>F</v>
      </c>
      <c r="Z5" s="105" t="str">
        <f t="shared" si="3"/>
        <v>PouF</v>
      </c>
      <c r="AA5" s="105">
        <f>M10</f>
        <v>27</v>
      </c>
    </row>
    <row r="6" spans="2:27" ht="16.5" thickBot="1" x14ac:dyDescent="0.3">
      <c r="B6" s="30">
        <f t="shared" ref="B6:B13" si="4">B5+1</f>
        <v>2005</v>
      </c>
      <c r="C6" s="35" t="s">
        <v>20</v>
      </c>
      <c r="D6" s="28">
        <f>IF(ISNA(VLOOKUP($B6&amp;"-"&amp;$C6&amp;"-"&amp;D$3,'Extraction Effectifs 20180831'!$A:$F,6,FALSE)),0,VLOOKUP($B6&amp;"-"&amp;$C6&amp;"-"&amp;D$3,'Extraction Effectifs 20180831'!$A:$F,6,FALSE))</f>
        <v>3</v>
      </c>
      <c r="E6" s="29">
        <f>IF(ISNA(VLOOKUP($B6&amp;"-"&amp;$C6&amp;"-"&amp;E$3,'Extraction Effectifs 20180831'!$A:$F,6,FALSE)),0,VLOOKUP($B6&amp;"-"&amp;$C6&amp;"-"&amp;E$3,'Extraction Effectifs 20180831'!$A:$F,6,FALSE))</f>
        <v>0</v>
      </c>
      <c r="F6" s="29">
        <f>IF(ISNA(VLOOKUP($B6&amp;"-"&amp;$C6&amp;"-"&amp;F$3,'Extraction Effectifs 20180831'!$A:$F,6,FALSE)),0,VLOOKUP($B6&amp;"-"&amp;$C6&amp;"-"&amp;F$3,'Extraction Effectifs 20180831'!$A:$F,6,FALSE))</f>
        <v>7</v>
      </c>
      <c r="G6" s="29">
        <f>IF(ISNA(VLOOKUP($B6&amp;"-"&amp;$C6&amp;"-"&amp;G$3,'Extraction Effectifs 20180831'!$A:$F,6,FALSE)),0,VLOOKUP($B6&amp;"-"&amp;$C6&amp;"-"&amp;G$3,'Extraction Effectifs 20180831'!$A:$F,6,FALSE))</f>
        <v>2</v>
      </c>
      <c r="H6" s="98" t="str">
        <f>C5</f>
        <v>BenF</v>
      </c>
      <c r="I6" s="98">
        <f>D6+D7</f>
        <v>6</v>
      </c>
      <c r="J6" s="98">
        <f>E6+E7</f>
        <v>4</v>
      </c>
      <c r="K6" s="98">
        <f>F6+F7</f>
        <v>12</v>
      </c>
      <c r="L6" s="100">
        <f>G6+G7</f>
        <v>6</v>
      </c>
      <c r="M6" s="100">
        <f t="shared" ref="M6" si="5">SUM(I6:L7)</f>
        <v>28</v>
      </c>
      <c r="P6" s="59" t="s">
        <v>11</v>
      </c>
      <c r="Q6" s="59" t="str">
        <f t="shared" si="0"/>
        <v>F</v>
      </c>
      <c r="R6" s="59" t="str">
        <f t="shared" si="1"/>
        <v>Ben</v>
      </c>
      <c r="S6" s="59">
        <v>22</v>
      </c>
      <c r="T6" s="105" t="str">
        <f t="shared" ref="T6:T41" si="6">R6&amp;Q6&amp;S6</f>
        <v>BenF22</v>
      </c>
      <c r="U6" s="105">
        <f>I6</f>
        <v>6</v>
      </c>
      <c r="X6" s="59" t="s">
        <v>15</v>
      </c>
      <c r="Y6" s="59" t="str">
        <f t="shared" si="2"/>
        <v>F</v>
      </c>
      <c r="Z6" s="105" t="str">
        <f t="shared" si="3"/>
        <v>PpoF</v>
      </c>
      <c r="AA6" s="105">
        <f>M12</f>
        <v>5</v>
      </c>
    </row>
    <row r="7" spans="2:27" ht="16.5" thickBot="1" x14ac:dyDescent="0.3">
      <c r="B7" s="28">
        <f t="shared" si="4"/>
        <v>2006</v>
      </c>
      <c r="C7" s="33" t="s">
        <v>21</v>
      </c>
      <c r="D7" s="30">
        <f>IF(ISNA(VLOOKUP($B7&amp;"-"&amp;$C7&amp;"-"&amp;D$3,'Extraction Effectifs 20180831'!$A:$F,6,FALSE)),0,VLOOKUP($B7&amp;"-"&amp;$C7&amp;"-"&amp;D$3,'Extraction Effectifs 20180831'!$A:$F,6,FALSE))</f>
        <v>3</v>
      </c>
      <c r="E7" s="31">
        <f>IF(ISNA(VLOOKUP($B7&amp;"-"&amp;$C7&amp;"-"&amp;E$3,'Extraction Effectifs 20180831'!$A:$F,6,FALSE)),0,VLOOKUP($B7&amp;"-"&amp;$C7&amp;"-"&amp;E$3,'Extraction Effectifs 20180831'!$A:$F,6,FALSE))</f>
        <v>4</v>
      </c>
      <c r="F7" s="31">
        <f>IF(ISNA(VLOOKUP($B7&amp;"-"&amp;$C7&amp;"-"&amp;F$3,'Extraction Effectifs 20180831'!$A:$F,6,FALSE)),0,VLOOKUP($B7&amp;"-"&amp;$C7&amp;"-"&amp;F$3,'Extraction Effectifs 20180831'!$A:$F,6,FALSE))</f>
        <v>5</v>
      </c>
      <c r="G7" s="31">
        <f>IF(ISNA(VLOOKUP($B7&amp;"-"&amp;$C7&amp;"-"&amp;G$3,'Extraction Effectifs 20180831'!$A:$F,6,FALSE)),0,VLOOKUP($B7&amp;"-"&amp;$C7&amp;"-"&amp;G$3,'Extraction Effectifs 20180831'!$A:$F,6,FALSE))</f>
        <v>4</v>
      </c>
      <c r="H7" s="99"/>
      <c r="I7" s="99"/>
      <c r="J7" s="99"/>
      <c r="K7" s="99"/>
      <c r="L7" s="101"/>
      <c r="M7" s="101"/>
      <c r="Q7" s="59" t="str">
        <f t="shared" si="0"/>
        <v>F</v>
      </c>
      <c r="R7" s="59" t="str">
        <f t="shared" si="1"/>
        <v>Ben</v>
      </c>
      <c r="S7" s="59">
        <v>29</v>
      </c>
      <c r="T7" s="105" t="str">
        <f t="shared" si="6"/>
        <v>BenF29</v>
      </c>
      <c r="U7" s="105">
        <f>J6</f>
        <v>4</v>
      </c>
      <c r="W7" s="59" t="s">
        <v>8</v>
      </c>
      <c r="X7" s="59" t="s">
        <v>10</v>
      </c>
      <c r="Y7" s="59" t="str">
        <f t="shared" si="2"/>
        <v>M</v>
      </c>
      <c r="Z7" s="105" t="str">
        <f t="shared" si="3"/>
        <v>MinM</v>
      </c>
      <c r="AA7" s="105">
        <f>M17</f>
        <v>92</v>
      </c>
    </row>
    <row r="8" spans="2:27" ht="16.5" thickBot="1" x14ac:dyDescent="0.3">
      <c r="B8" s="30">
        <f t="shared" si="4"/>
        <v>2007</v>
      </c>
      <c r="C8" s="35" t="s">
        <v>21</v>
      </c>
      <c r="D8" s="28">
        <f>IF(ISNA(VLOOKUP($B8&amp;"-"&amp;$C8&amp;"-"&amp;D$3,'Extraction Effectifs 20180831'!$A:$F,6,FALSE)),0,VLOOKUP($B8&amp;"-"&amp;$C8&amp;"-"&amp;D$3,'Extraction Effectifs 20180831'!$A:$F,6,FALSE))</f>
        <v>0</v>
      </c>
      <c r="E8" s="29">
        <f>IF(ISNA(VLOOKUP($B8&amp;"-"&amp;$C8&amp;"-"&amp;E$3,'Extraction Effectifs 20180831'!$A:$F,6,FALSE)),0,VLOOKUP($B8&amp;"-"&amp;$C8&amp;"-"&amp;E$3,'Extraction Effectifs 20180831'!$A:$F,6,FALSE))</f>
        <v>0</v>
      </c>
      <c r="F8" s="29">
        <f>IF(ISNA(VLOOKUP($B8&amp;"-"&amp;$C8&amp;"-"&amp;F$3,'Extraction Effectifs 20180831'!$A:$F,6,FALSE)),0,VLOOKUP($B8&amp;"-"&amp;$C8&amp;"-"&amp;F$3,'Extraction Effectifs 20180831'!$A:$F,6,FALSE))</f>
        <v>4</v>
      </c>
      <c r="G8" s="29">
        <f>IF(ISNA(VLOOKUP($B8&amp;"-"&amp;$C8&amp;"-"&amp;G$3,'Extraction Effectifs 20180831'!$A:$F,6,FALSE)),0,VLOOKUP($B8&amp;"-"&amp;$C8&amp;"-"&amp;G$3,'Extraction Effectifs 20180831'!$A:$F,6,FALSE))</f>
        <v>3</v>
      </c>
      <c r="H8" s="98" t="str">
        <f>C7</f>
        <v>PupF</v>
      </c>
      <c r="I8" s="98">
        <f>D8+D9</f>
        <v>2</v>
      </c>
      <c r="J8" s="98">
        <f>E8+E9</f>
        <v>5</v>
      </c>
      <c r="K8" s="98">
        <f>F8+F9</f>
        <v>14</v>
      </c>
      <c r="L8" s="100">
        <f>G8+G9</f>
        <v>6</v>
      </c>
      <c r="M8" s="100">
        <f t="shared" ref="M8" si="7">SUM(I8:L9)</f>
        <v>27</v>
      </c>
      <c r="Q8" s="59" t="str">
        <f t="shared" si="0"/>
        <v>F</v>
      </c>
      <c r="R8" s="59" t="str">
        <f t="shared" si="1"/>
        <v>Ben</v>
      </c>
      <c r="S8" s="59">
        <v>35</v>
      </c>
      <c r="T8" s="105" t="str">
        <f t="shared" si="6"/>
        <v>BenF35</v>
      </c>
      <c r="U8" s="105">
        <f>K6</f>
        <v>12</v>
      </c>
      <c r="X8" s="59" t="s">
        <v>11</v>
      </c>
      <c r="Y8" s="59" t="str">
        <f t="shared" si="2"/>
        <v>M</v>
      </c>
      <c r="Z8" s="105" t="str">
        <f t="shared" si="3"/>
        <v>BenM</v>
      </c>
      <c r="AA8" s="105">
        <f>M19</f>
        <v>121</v>
      </c>
    </row>
    <row r="9" spans="2:27" ht="16.5" thickBot="1" x14ac:dyDescent="0.3">
      <c r="B9" s="28">
        <f t="shared" si="4"/>
        <v>2008</v>
      </c>
      <c r="C9" s="33" t="s">
        <v>22</v>
      </c>
      <c r="D9" s="30">
        <f>IF(ISNA(VLOOKUP($B9&amp;"-"&amp;$C9&amp;"-"&amp;D$3,'Extraction Effectifs 20180831'!$A:$F,6,FALSE)),0,VLOOKUP($B9&amp;"-"&amp;$C9&amp;"-"&amp;D$3,'Extraction Effectifs 20180831'!$A:$F,6,FALSE))</f>
        <v>2</v>
      </c>
      <c r="E9" s="31">
        <f>IF(ISNA(VLOOKUP($B9&amp;"-"&amp;$C9&amp;"-"&amp;E$3,'Extraction Effectifs 20180831'!$A:$F,6,FALSE)),0,VLOOKUP($B9&amp;"-"&amp;$C9&amp;"-"&amp;E$3,'Extraction Effectifs 20180831'!$A:$F,6,FALSE))</f>
        <v>5</v>
      </c>
      <c r="F9" s="31">
        <f>IF(ISNA(VLOOKUP($B9&amp;"-"&amp;$C9&amp;"-"&amp;F$3,'Extraction Effectifs 20180831'!$A:$F,6,FALSE)),0,VLOOKUP($B9&amp;"-"&amp;$C9&amp;"-"&amp;F$3,'Extraction Effectifs 20180831'!$A:$F,6,FALSE))</f>
        <v>10</v>
      </c>
      <c r="G9" s="31">
        <f>IF(ISNA(VLOOKUP($B9&amp;"-"&amp;$C9&amp;"-"&amp;G$3,'Extraction Effectifs 20180831'!$A:$F,6,FALSE)),0,VLOOKUP($B9&amp;"-"&amp;$C9&amp;"-"&amp;G$3,'Extraction Effectifs 20180831'!$A:$F,6,FALSE))</f>
        <v>3</v>
      </c>
      <c r="H9" s="99"/>
      <c r="I9" s="99"/>
      <c r="J9" s="99"/>
      <c r="K9" s="99"/>
      <c r="L9" s="101"/>
      <c r="M9" s="101"/>
      <c r="Q9" s="59" t="str">
        <f t="shared" si="0"/>
        <v>F</v>
      </c>
      <c r="R9" s="59" t="str">
        <f t="shared" si="1"/>
        <v>Ben</v>
      </c>
      <c r="S9" s="59">
        <v>56</v>
      </c>
      <c r="T9" s="105" t="str">
        <f t="shared" si="6"/>
        <v>BenF56</v>
      </c>
      <c r="U9" s="105">
        <f>L6</f>
        <v>6</v>
      </c>
      <c r="X9" s="59" t="s">
        <v>12</v>
      </c>
      <c r="Y9" s="59" t="str">
        <f t="shared" si="2"/>
        <v>M</v>
      </c>
      <c r="Z9" s="105" t="str">
        <f t="shared" si="3"/>
        <v>PupM</v>
      </c>
      <c r="AA9" s="105">
        <f>M21</f>
        <v>165</v>
      </c>
    </row>
    <row r="10" spans="2:27" ht="16.5" thickBot="1" x14ac:dyDescent="0.3">
      <c r="B10" s="30">
        <f t="shared" si="4"/>
        <v>2009</v>
      </c>
      <c r="C10" s="35" t="s">
        <v>22</v>
      </c>
      <c r="D10" s="28">
        <f>IF(ISNA(VLOOKUP($B10&amp;"-"&amp;$C10&amp;"-"&amp;D$3,'Extraction Effectifs 20180831'!$A:$F,6,FALSE)),0,VLOOKUP($B10&amp;"-"&amp;$C10&amp;"-"&amp;D$3,'Extraction Effectifs 20180831'!$A:$F,6,FALSE))</f>
        <v>3</v>
      </c>
      <c r="E10" s="29">
        <f>IF(ISNA(VLOOKUP($B10&amp;"-"&amp;$C10&amp;"-"&amp;E$3,'Extraction Effectifs 20180831'!$A:$F,6,FALSE)),0,VLOOKUP($B10&amp;"-"&amp;$C10&amp;"-"&amp;E$3,'Extraction Effectifs 20180831'!$A:$F,6,FALSE))</f>
        <v>1</v>
      </c>
      <c r="F10" s="29">
        <f>IF(ISNA(VLOOKUP($B10&amp;"-"&amp;$C10&amp;"-"&amp;F$3,'Extraction Effectifs 20180831'!$A:$F,6,FALSE)),0,VLOOKUP($B10&amp;"-"&amp;$C10&amp;"-"&amp;F$3,'Extraction Effectifs 20180831'!$A:$F,6,FALSE))</f>
        <v>7</v>
      </c>
      <c r="G10" s="29">
        <f>IF(ISNA(VLOOKUP($B10&amp;"-"&amp;$C10&amp;"-"&amp;G$3,'Extraction Effectifs 20180831'!$A:$F,6,FALSE)),0,VLOOKUP($B10&amp;"-"&amp;$C10&amp;"-"&amp;G$3,'Extraction Effectifs 20180831'!$A:$F,6,FALSE))</f>
        <v>9</v>
      </c>
      <c r="H10" s="98" t="str">
        <f>C9</f>
        <v>PouF</v>
      </c>
      <c r="I10" s="98">
        <f>D10+D11</f>
        <v>6</v>
      </c>
      <c r="J10" s="98">
        <f>E10+E11</f>
        <v>2</v>
      </c>
      <c r="K10" s="98">
        <f>F10+F11</f>
        <v>10</v>
      </c>
      <c r="L10" s="100">
        <f>G10+G11</f>
        <v>9</v>
      </c>
      <c r="M10" s="100">
        <f t="shared" ref="M10" si="8">SUM(I10:L11)</f>
        <v>27</v>
      </c>
      <c r="P10" s="59" t="s">
        <v>12</v>
      </c>
      <c r="Q10" s="59" t="str">
        <f t="shared" si="0"/>
        <v>F</v>
      </c>
      <c r="R10" s="59" t="str">
        <f t="shared" si="1"/>
        <v>Pup</v>
      </c>
      <c r="S10" s="59">
        <v>22</v>
      </c>
      <c r="T10" s="105" t="str">
        <f t="shared" si="6"/>
        <v>PupF22</v>
      </c>
      <c r="U10" s="105">
        <f>I8</f>
        <v>2</v>
      </c>
      <c r="X10" s="59" t="s">
        <v>13</v>
      </c>
      <c r="Y10" s="59" t="str">
        <f t="shared" si="2"/>
        <v>M</v>
      </c>
      <c r="Z10" s="105" t="str">
        <f t="shared" si="3"/>
        <v>PouM</v>
      </c>
      <c r="AA10" s="105">
        <f>M23</f>
        <v>103</v>
      </c>
    </row>
    <row r="11" spans="2:27" ht="16.5" thickBot="1" x14ac:dyDescent="0.3">
      <c r="B11" s="28">
        <f t="shared" si="4"/>
        <v>2010</v>
      </c>
      <c r="C11" s="33" t="s">
        <v>23</v>
      </c>
      <c r="D11" s="30">
        <f>IF(ISNA(VLOOKUP($B11&amp;"-"&amp;$C11&amp;"-"&amp;D$3,'Extraction Effectifs 20180831'!$A:$F,6,FALSE)),0,VLOOKUP($B11&amp;"-"&amp;$C11&amp;"-"&amp;D$3,'Extraction Effectifs 20180831'!$A:$F,6,FALSE))</f>
        <v>3</v>
      </c>
      <c r="E11" s="31">
        <f>IF(ISNA(VLOOKUP($B11&amp;"-"&amp;$C11&amp;"-"&amp;E$3,'Extraction Effectifs 20180831'!$A:$F,6,FALSE)),0,VLOOKUP($B11&amp;"-"&amp;$C11&amp;"-"&amp;E$3,'Extraction Effectifs 20180831'!$A:$F,6,FALSE))</f>
        <v>1</v>
      </c>
      <c r="F11" s="31">
        <f>IF(ISNA(VLOOKUP($B11&amp;"-"&amp;$C11&amp;"-"&amp;F$3,'Extraction Effectifs 20180831'!$A:$F,6,FALSE)),0,VLOOKUP($B11&amp;"-"&amp;$C11&amp;"-"&amp;F$3,'Extraction Effectifs 20180831'!$A:$F,6,FALSE))</f>
        <v>3</v>
      </c>
      <c r="G11" s="31">
        <f>IF(ISNA(VLOOKUP($B11&amp;"-"&amp;$C11&amp;"-"&amp;G$3,'Extraction Effectifs 20180831'!$A:$F,6,FALSE)),0,VLOOKUP($B11&amp;"-"&amp;$C11&amp;"-"&amp;G$3,'Extraction Effectifs 20180831'!$A:$F,6,FALSE))</f>
        <v>0</v>
      </c>
      <c r="H11" s="99"/>
      <c r="I11" s="99"/>
      <c r="J11" s="99"/>
      <c r="K11" s="99"/>
      <c r="L11" s="101"/>
      <c r="M11" s="101"/>
      <c r="Q11" s="59" t="str">
        <f t="shared" si="0"/>
        <v>F</v>
      </c>
      <c r="R11" s="59" t="str">
        <f t="shared" si="1"/>
        <v>Pup</v>
      </c>
      <c r="S11" s="59">
        <v>29</v>
      </c>
      <c r="T11" s="105" t="str">
        <f t="shared" si="6"/>
        <v>PupF29</v>
      </c>
      <c r="U11" s="105">
        <f>J8</f>
        <v>5</v>
      </c>
      <c r="X11" s="59" t="s">
        <v>15</v>
      </c>
      <c r="Y11" s="59" t="str">
        <f t="shared" si="2"/>
        <v>M</v>
      </c>
      <c r="Z11" s="105" t="str">
        <f t="shared" si="3"/>
        <v>PpoM</v>
      </c>
      <c r="AA11" s="105">
        <f>M25</f>
        <v>23</v>
      </c>
    </row>
    <row r="12" spans="2:27" x14ac:dyDescent="0.25">
      <c r="B12" s="32">
        <f t="shared" si="4"/>
        <v>2011</v>
      </c>
      <c r="C12" s="34" t="s">
        <v>23</v>
      </c>
      <c r="D12" s="28">
        <f>IF(ISNA(VLOOKUP($B12&amp;"-"&amp;$C12&amp;"-"&amp;D$3,'Extraction Effectifs 20180831'!$A:$F,6,FALSE)),0,VLOOKUP($B12&amp;"-"&amp;$C12&amp;"-"&amp;D$3,'Extraction Effectifs 20180831'!$A:$F,6,FALSE))</f>
        <v>0</v>
      </c>
      <c r="E12" s="29">
        <f>IF(ISNA(VLOOKUP($B12&amp;"-"&amp;$C12&amp;"-"&amp;E$3,'Extraction Effectifs 20180831'!$A:$F,6,FALSE)),0,VLOOKUP($B12&amp;"-"&amp;$C12&amp;"-"&amp;E$3,'Extraction Effectifs 20180831'!$A:$F,6,FALSE))</f>
        <v>0</v>
      </c>
      <c r="F12" s="29">
        <f>IF(ISNA(VLOOKUP($B12&amp;"-"&amp;$C12&amp;"-"&amp;F$3,'Extraction Effectifs 20180831'!$A:$F,6,FALSE)),0,VLOOKUP($B12&amp;"-"&amp;$C12&amp;"-"&amp;F$3,'Extraction Effectifs 20180831'!$A:$F,6,FALSE))</f>
        <v>3</v>
      </c>
      <c r="G12" s="29">
        <f>IF(ISNA(VLOOKUP($B12&amp;"-"&amp;$C12&amp;"-"&amp;G$3,'Extraction Effectifs 20180831'!$A:$F,6,FALSE)),0,VLOOKUP($B12&amp;"-"&amp;$C12&amp;"-"&amp;G$3,'Extraction Effectifs 20180831'!$A:$F,6,FALSE))</f>
        <v>1</v>
      </c>
      <c r="H12" s="98" t="str">
        <f>C11</f>
        <v>PpoF</v>
      </c>
      <c r="I12" s="98">
        <f>D12+D13</f>
        <v>0</v>
      </c>
      <c r="J12" s="98">
        <f>E12+E13</f>
        <v>0</v>
      </c>
      <c r="K12" s="98">
        <f>F12+F13</f>
        <v>4</v>
      </c>
      <c r="L12" s="100">
        <f>G12+G13</f>
        <v>1</v>
      </c>
      <c r="M12" s="100">
        <f t="shared" ref="M12" si="9">SUM(I12:L13)</f>
        <v>5</v>
      </c>
      <c r="Q12" s="59" t="str">
        <f t="shared" si="0"/>
        <v>F</v>
      </c>
      <c r="R12" s="59" t="str">
        <f t="shared" si="1"/>
        <v>Pup</v>
      </c>
      <c r="S12" s="59">
        <v>35</v>
      </c>
      <c r="T12" s="105" t="str">
        <f t="shared" si="6"/>
        <v>PupF35</v>
      </c>
      <c r="U12" s="105">
        <f>K8</f>
        <v>14</v>
      </c>
    </row>
    <row r="13" spans="2:27" ht="16.5" thickBot="1" x14ac:dyDescent="0.3">
      <c r="B13" s="30">
        <f t="shared" si="4"/>
        <v>2012</v>
      </c>
      <c r="C13" s="35" t="s">
        <v>23</v>
      </c>
      <c r="D13" s="30">
        <f>IF(ISNA(VLOOKUP($B13&amp;"-"&amp;$C13&amp;"-"&amp;D$3,'Extraction Effectifs 20180831'!$A:$F,6,FALSE)),0,VLOOKUP($B13&amp;"-"&amp;$C13&amp;"-"&amp;D$3,'Extraction Effectifs 20180831'!$A:$F,6,FALSE))</f>
        <v>0</v>
      </c>
      <c r="E13" s="31">
        <f>IF(ISNA(VLOOKUP($B13&amp;"-"&amp;$C13&amp;"-"&amp;E$3,'Extraction Effectifs 20180831'!$A:$F,6,FALSE)),0,VLOOKUP($B13&amp;"-"&amp;$C13&amp;"-"&amp;E$3,'Extraction Effectifs 20180831'!$A:$F,6,FALSE))</f>
        <v>0</v>
      </c>
      <c r="F13" s="31">
        <f>IF(ISNA(VLOOKUP($B13&amp;"-"&amp;$C13&amp;"-"&amp;F$3,'Extraction Effectifs 20180831'!$A:$F,6,FALSE)),0,VLOOKUP($B13&amp;"-"&amp;$C13&amp;"-"&amp;F$3,'Extraction Effectifs 20180831'!$A:$F,6,FALSE))</f>
        <v>1</v>
      </c>
      <c r="G13" s="31">
        <f>IF(ISNA(VLOOKUP($B13&amp;"-"&amp;$C13&amp;"-"&amp;G$3,'Extraction Effectifs 20180831'!$A:$F,6,FALSE)),0,VLOOKUP($B13&amp;"-"&amp;$C13&amp;"-"&amp;G$3,'Extraction Effectifs 20180831'!$A:$F,6,FALSE))</f>
        <v>0</v>
      </c>
      <c r="H13" s="99"/>
      <c r="I13" s="99"/>
      <c r="J13" s="99"/>
      <c r="K13" s="99"/>
      <c r="L13" s="101"/>
      <c r="M13" s="101"/>
      <c r="Q13" s="59" t="str">
        <f t="shared" si="0"/>
        <v>F</v>
      </c>
      <c r="R13" s="59" t="str">
        <f t="shared" si="1"/>
        <v>Pup</v>
      </c>
      <c r="S13" s="59">
        <v>56</v>
      </c>
      <c r="T13" s="105" t="str">
        <f t="shared" si="6"/>
        <v>PupF56</v>
      </c>
      <c r="U13" s="105">
        <f>L8</f>
        <v>6</v>
      </c>
    </row>
    <row r="14" spans="2:27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P14" s="59" t="s">
        <v>13</v>
      </c>
      <c r="Q14" s="59" t="str">
        <f t="shared" si="0"/>
        <v>F</v>
      </c>
      <c r="R14" s="59" t="str">
        <f t="shared" si="1"/>
        <v>Pou</v>
      </c>
      <c r="S14" s="59">
        <v>22</v>
      </c>
      <c r="T14" s="105" t="str">
        <f t="shared" si="6"/>
        <v>PouF22</v>
      </c>
      <c r="U14" s="105">
        <f>I10</f>
        <v>6</v>
      </c>
    </row>
    <row r="15" spans="2:27" ht="15" customHeight="1" x14ac:dyDescent="0.25">
      <c r="B15" s="95" t="s">
        <v>28</v>
      </c>
      <c r="C15" s="96" t="str">
        <f>C2</f>
        <v>Catégorie
31/08/2018</v>
      </c>
      <c r="D15" s="97" t="s">
        <v>43</v>
      </c>
      <c r="E15" s="97"/>
      <c r="F15" s="97"/>
      <c r="G15" s="97"/>
      <c r="H15" s="96" t="str">
        <f>H2</f>
        <v>Catégorie
01/09/2018</v>
      </c>
      <c r="I15" s="97" t="s">
        <v>39</v>
      </c>
      <c r="J15" s="97"/>
      <c r="K15" s="97"/>
      <c r="L15" s="97"/>
      <c r="M15" s="94"/>
      <c r="Q15" s="59" t="str">
        <f t="shared" si="0"/>
        <v>F</v>
      </c>
      <c r="R15" s="59" t="str">
        <f t="shared" si="1"/>
        <v>Pou</v>
      </c>
      <c r="S15" s="59">
        <v>29</v>
      </c>
      <c r="T15" s="105" t="str">
        <f t="shared" si="6"/>
        <v>PouF29</v>
      </c>
      <c r="U15" s="105">
        <f>J10</f>
        <v>2</v>
      </c>
    </row>
    <row r="16" spans="2:27" ht="16.5" thickBot="1" x14ac:dyDescent="0.3">
      <c r="B16" s="96"/>
      <c r="C16" s="97"/>
      <c r="D16" s="24">
        <v>22</v>
      </c>
      <c r="E16" s="24">
        <v>29</v>
      </c>
      <c r="F16" s="24">
        <v>35</v>
      </c>
      <c r="G16" s="24">
        <v>56</v>
      </c>
      <c r="H16" s="97"/>
      <c r="I16" s="25">
        <f>D16</f>
        <v>22</v>
      </c>
      <c r="J16" s="25">
        <f>E16</f>
        <v>29</v>
      </c>
      <c r="K16" s="25">
        <f>F16</f>
        <v>35</v>
      </c>
      <c r="L16" s="25">
        <f>G16</f>
        <v>56</v>
      </c>
      <c r="M16" s="25" t="s">
        <v>29</v>
      </c>
      <c r="Q16" s="59" t="str">
        <f t="shared" si="0"/>
        <v>F</v>
      </c>
      <c r="R16" s="59" t="str">
        <f t="shared" si="1"/>
        <v>Pou</v>
      </c>
      <c r="S16" s="59">
        <v>35</v>
      </c>
      <c r="T16" s="105" t="str">
        <f t="shared" si="6"/>
        <v>PouF35</v>
      </c>
      <c r="U16" s="105">
        <f>K10</f>
        <v>10</v>
      </c>
    </row>
    <row r="17" spans="1:21" ht="16.5" thickBot="1" x14ac:dyDescent="0.3">
      <c r="B17" s="36">
        <f>B4</f>
        <v>2003</v>
      </c>
      <c r="C17" s="37" t="s">
        <v>16</v>
      </c>
      <c r="D17" s="28">
        <f>IF(ISNA(VLOOKUP($B17&amp;"-"&amp;$C17&amp;"-"&amp;D$3,'Extraction Effectifs 20180831'!$A:$F,6,FALSE)),0,VLOOKUP($B17&amp;"-"&amp;$C17&amp;"-"&amp;D$3,'Extraction Effectifs 20180831'!$A:$F,6,FALSE))</f>
        <v>8</v>
      </c>
      <c r="E17" s="29">
        <f>IF(ISNA(VLOOKUP($B17&amp;"-"&amp;$C17&amp;"-"&amp;E$3,'Extraction Effectifs 20180831'!$A:$F,6,FALSE)),0,VLOOKUP($B17&amp;"-"&amp;$C17&amp;"-"&amp;E$3,'Extraction Effectifs 20180831'!$A:$F,6,FALSE))</f>
        <v>7</v>
      </c>
      <c r="F17" s="29">
        <f>IF(ISNA(VLOOKUP($B17&amp;"-"&amp;$C17&amp;"-"&amp;F$3,'Extraction Effectifs 20180831'!$A:$F,6,FALSE)),0,VLOOKUP($B17&amp;"-"&amp;$C17&amp;"-"&amp;F$3,'Extraction Effectifs 20180831'!$A:$F,6,FALSE))</f>
        <v>16</v>
      </c>
      <c r="G17" s="29">
        <f>IF(ISNA(VLOOKUP($B17&amp;"-"&amp;$C17&amp;"-"&amp;G$3,'Extraction Effectifs 20180831'!$A:$F,6,FALSE)),0,VLOOKUP($B17&amp;"-"&amp;$C17&amp;"-"&amp;G$3,'Extraction Effectifs 20180831'!$A:$F,6,FALSE))</f>
        <v>8</v>
      </c>
      <c r="H17" s="98" t="str">
        <f>C17</f>
        <v>MinM</v>
      </c>
      <c r="I17" s="98">
        <f>D17+D18</f>
        <v>16</v>
      </c>
      <c r="J17" s="98">
        <f>E17+E18</f>
        <v>20</v>
      </c>
      <c r="K17" s="98">
        <f>F17+F18</f>
        <v>39</v>
      </c>
      <c r="L17" s="100">
        <f>G17+G18</f>
        <v>17</v>
      </c>
      <c r="M17" s="100">
        <f>SUM(I17:L18)</f>
        <v>92</v>
      </c>
      <c r="Q17" s="59" t="str">
        <f t="shared" si="0"/>
        <v>F</v>
      </c>
      <c r="R17" s="59" t="str">
        <f t="shared" si="1"/>
        <v>Pou</v>
      </c>
      <c r="S17" s="59">
        <v>56</v>
      </c>
      <c r="T17" s="105" t="str">
        <f t="shared" si="6"/>
        <v>PouF56</v>
      </c>
      <c r="U17" s="105">
        <f>L10</f>
        <v>9</v>
      </c>
    </row>
    <row r="18" spans="1:21" ht="16.5" thickBot="1" x14ac:dyDescent="0.3">
      <c r="B18" s="28">
        <f t="shared" ref="B18:B26" si="10">B5</f>
        <v>2004</v>
      </c>
      <c r="C18" s="33" t="s">
        <v>17</v>
      </c>
      <c r="D18" s="30">
        <f>IF(ISNA(VLOOKUP($B18&amp;"-"&amp;$C18&amp;"-"&amp;D$3,'Extraction Effectifs 20180831'!$A:$F,6,FALSE)),0,VLOOKUP($B18&amp;"-"&amp;$C18&amp;"-"&amp;D$3,'Extraction Effectifs 20180831'!$A:$F,6,FALSE))</f>
        <v>8</v>
      </c>
      <c r="E18" s="31">
        <f>IF(ISNA(VLOOKUP($B18&amp;"-"&amp;$C18&amp;"-"&amp;E$3,'Extraction Effectifs 20180831'!$A:$F,6,FALSE)),0,VLOOKUP($B18&amp;"-"&amp;$C18&amp;"-"&amp;E$3,'Extraction Effectifs 20180831'!$A:$F,6,FALSE))</f>
        <v>13</v>
      </c>
      <c r="F18" s="31">
        <f>IF(ISNA(VLOOKUP($B18&amp;"-"&amp;$C18&amp;"-"&amp;F$3,'Extraction Effectifs 20180831'!$A:$F,6,FALSE)),0,VLOOKUP($B18&amp;"-"&amp;$C18&amp;"-"&amp;F$3,'Extraction Effectifs 20180831'!$A:$F,6,FALSE))</f>
        <v>23</v>
      </c>
      <c r="G18" s="31">
        <f>IF(ISNA(VLOOKUP($B18&amp;"-"&amp;$C18&amp;"-"&amp;G$3,'Extraction Effectifs 20180831'!$A:$F,6,FALSE)),0,VLOOKUP($B18&amp;"-"&amp;$C18&amp;"-"&amp;G$3,'Extraction Effectifs 20180831'!$A:$F,6,FALSE))</f>
        <v>9</v>
      </c>
      <c r="H18" s="99"/>
      <c r="I18" s="99"/>
      <c r="J18" s="99"/>
      <c r="K18" s="99"/>
      <c r="L18" s="101"/>
      <c r="M18" s="101"/>
      <c r="P18" s="59" t="s">
        <v>15</v>
      </c>
      <c r="Q18" s="59" t="str">
        <f t="shared" si="0"/>
        <v>F</v>
      </c>
      <c r="R18" s="59" t="str">
        <f t="shared" si="1"/>
        <v>Ppo</v>
      </c>
      <c r="S18" s="59">
        <v>22</v>
      </c>
      <c r="T18" s="105" t="str">
        <f t="shared" si="6"/>
        <v>PpoF22</v>
      </c>
      <c r="U18" s="105">
        <f>I12</f>
        <v>0</v>
      </c>
    </row>
    <row r="19" spans="1:21" ht="16.5" thickBot="1" x14ac:dyDescent="0.3">
      <c r="B19" s="30">
        <f t="shared" si="10"/>
        <v>2005</v>
      </c>
      <c r="C19" s="35" t="s">
        <v>17</v>
      </c>
      <c r="D19" s="28">
        <f>IF(ISNA(VLOOKUP($B19&amp;"-"&amp;$C19&amp;"-"&amp;D$3,'Extraction Effectifs 20180831'!$A:$F,6,FALSE)),0,VLOOKUP($B19&amp;"-"&amp;$C19&amp;"-"&amp;D$3,'Extraction Effectifs 20180831'!$A:$F,6,FALSE))</f>
        <v>13</v>
      </c>
      <c r="E19" s="29">
        <f>IF(ISNA(VLOOKUP($B19&amp;"-"&amp;$C19&amp;"-"&amp;E$3,'Extraction Effectifs 20180831'!$A:$F,6,FALSE)),0,VLOOKUP($B19&amp;"-"&amp;$C19&amp;"-"&amp;E$3,'Extraction Effectifs 20180831'!$A:$F,6,FALSE))</f>
        <v>12</v>
      </c>
      <c r="F19" s="29">
        <f>IF(ISNA(VLOOKUP($B19&amp;"-"&amp;$C19&amp;"-"&amp;F$3,'Extraction Effectifs 20180831'!$A:$F,6,FALSE)),0,VLOOKUP($B19&amp;"-"&amp;$C19&amp;"-"&amp;F$3,'Extraction Effectifs 20180831'!$A:$F,6,FALSE))</f>
        <v>20</v>
      </c>
      <c r="G19" s="29">
        <f>IF(ISNA(VLOOKUP($B19&amp;"-"&amp;$C19&amp;"-"&amp;G$3,'Extraction Effectifs 20180831'!$A:$F,6,FALSE)),0,VLOOKUP($B19&amp;"-"&amp;$C19&amp;"-"&amp;G$3,'Extraction Effectifs 20180831'!$A:$F,6,FALSE))</f>
        <v>15</v>
      </c>
      <c r="H19" s="98" t="str">
        <f>C18</f>
        <v>BenM</v>
      </c>
      <c r="I19" s="98">
        <f>D19+D20</f>
        <v>23</v>
      </c>
      <c r="J19" s="98">
        <f>E19+E20</f>
        <v>25</v>
      </c>
      <c r="K19" s="98">
        <f>F19+F20</f>
        <v>43</v>
      </c>
      <c r="L19" s="100">
        <f>G19+G20</f>
        <v>30</v>
      </c>
      <c r="M19" s="100">
        <f t="shared" ref="M19" si="11">SUM(I19:L20)</f>
        <v>121</v>
      </c>
      <c r="Q19" s="59" t="str">
        <f t="shared" si="0"/>
        <v>F</v>
      </c>
      <c r="R19" s="59" t="str">
        <f t="shared" si="1"/>
        <v>Ppo</v>
      </c>
      <c r="S19" s="59">
        <v>29</v>
      </c>
      <c r="T19" s="105" t="str">
        <f t="shared" si="6"/>
        <v>PpoF29</v>
      </c>
      <c r="U19" s="105">
        <f>J12</f>
        <v>0</v>
      </c>
    </row>
    <row r="20" spans="1:21" ht="16.5" thickBot="1" x14ac:dyDescent="0.3">
      <c r="B20" s="28">
        <f t="shared" si="10"/>
        <v>2006</v>
      </c>
      <c r="C20" s="33" t="s">
        <v>18</v>
      </c>
      <c r="D20" s="30">
        <f>IF(ISNA(VLOOKUP($B20&amp;"-"&amp;$C20&amp;"-"&amp;D$3,'Extraction Effectifs 20180831'!$A:$F,6,FALSE)),0,VLOOKUP($B20&amp;"-"&amp;$C20&amp;"-"&amp;D$3,'Extraction Effectifs 20180831'!$A:$F,6,FALSE))</f>
        <v>10</v>
      </c>
      <c r="E20" s="31">
        <f>IF(ISNA(VLOOKUP($B20&amp;"-"&amp;$C20&amp;"-"&amp;E$3,'Extraction Effectifs 20180831'!$A:$F,6,FALSE)),0,VLOOKUP($B20&amp;"-"&amp;$C20&amp;"-"&amp;E$3,'Extraction Effectifs 20180831'!$A:$F,6,FALSE))</f>
        <v>13</v>
      </c>
      <c r="F20" s="31">
        <f>IF(ISNA(VLOOKUP($B20&amp;"-"&amp;$C20&amp;"-"&amp;F$3,'Extraction Effectifs 20180831'!$A:$F,6,FALSE)),0,VLOOKUP($B20&amp;"-"&amp;$C20&amp;"-"&amp;F$3,'Extraction Effectifs 20180831'!$A:$F,6,FALSE))</f>
        <v>23</v>
      </c>
      <c r="G20" s="31">
        <f>IF(ISNA(VLOOKUP($B20&amp;"-"&amp;$C20&amp;"-"&amp;G$3,'Extraction Effectifs 20180831'!$A:$F,6,FALSE)),0,VLOOKUP($B20&amp;"-"&amp;$C20&amp;"-"&amp;G$3,'Extraction Effectifs 20180831'!$A:$F,6,FALSE))</f>
        <v>15</v>
      </c>
      <c r="H20" s="99"/>
      <c r="I20" s="99"/>
      <c r="J20" s="99"/>
      <c r="K20" s="99"/>
      <c r="L20" s="101"/>
      <c r="M20" s="101"/>
      <c r="Q20" s="59" t="str">
        <f t="shared" si="0"/>
        <v>F</v>
      </c>
      <c r="R20" s="59" t="str">
        <f t="shared" si="1"/>
        <v>Ppo</v>
      </c>
      <c r="S20" s="59">
        <v>35</v>
      </c>
      <c r="T20" s="105" t="str">
        <f t="shared" si="6"/>
        <v>PpoF35</v>
      </c>
      <c r="U20" s="105">
        <f>K12</f>
        <v>4</v>
      </c>
    </row>
    <row r="21" spans="1:21" ht="16.5" thickBot="1" x14ac:dyDescent="0.3">
      <c r="B21" s="30">
        <f t="shared" si="10"/>
        <v>2007</v>
      </c>
      <c r="C21" s="35" t="s">
        <v>18</v>
      </c>
      <c r="D21" s="28">
        <f>IF(ISNA(VLOOKUP($B21&amp;"-"&amp;$C21&amp;"-"&amp;D$3,'Extraction Effectifs 20180831'!$A:$F,6,FALSE)),0,VLOOKUP($B21&amp;"-"&amp;$C21&amp;"-"&amp;D$3,'Extraction Effectifs 20180831'!$A:$F,6,FALSE))</f>
        <v>12</v>
      </c>
      <c r="E21" s="29">
        <f>IF(ISNA(VLOOKUP($B21&amp;"-"&amp;$C21&amp;"-"&amp;E$3,'Extraction Effectifs 20180831'!$A:$F,6,FALSE)),0,VLOOKUP($B21&amp;"-"&amp;$C21&amp;"-"&amp;E$3,'Extraction Effectifs 20180831'!$A:$F,6,FALSE))</f>
        <v>18</v>
      </c>
      <c r="F21" s="29">
        <f>IF(ISNA(VLOOKUP($B21&amp;"-"&amp;$C21&amp;"-"&amp;F$3,'Extraction Effectifs 20180831'!$A:$F,6,FALSE)),0,VLOOKUP($B21&amp;"-"&amp;$C21&amp;"-"&amp;F$3,'Extraction Effectifs 20180831'!$A:$F,6,FALSE))</f>
        <v>35</v>
      </c>
      <c r="G21" s="29">
        <f>IF(ISNA(VLOOKUP($B21&amp;"-"&amp;$C21&amp;"-"&amp;G$3,'Extraction Effectifs 20180831'!$A:$F,6,FALSE)),0,VLOOKUP($B21&amp;"-"&amp;$C21&amp;"-"&amp;G$3,'Extraction Effectifs 20180831'!$A:$F,6,FALSE))</f>
        <v>23</v>
      </c>
      <c r="H21" s="98" t="str">
        <f>C20</f>
        <v>PupM</v>
      </c>
      <c r="I21" s="98">
        <f>D21+D22</f>
        <v>20</v>
      </c>
      <c r="J21" s="98">
        <f>E21+E22</f>
        <v>31</v>
      </c>
      <c r="K21" s="98">
        <f>F21+F22</f>
        <v>65</v>
      </c>
      <c r="L21" s="100">
        <f>G21+G22</f>
        <v>49</v>
      </c>
      <c r="M21" s="100">
        <f t="shared" ref="M21" si="12">SUM(I21:L22)</f>
        <v>165</v>
      </c>
      <c r="Q21" s="59" t="str">
        <f t="shared" si="0"/>
        <v>F</v>
      </c>
      <c r="R21" s="59" t="str">
        <f t="shared" si="1"/>
        <v>Ppo</v>
      </c>
      <c r="S21" s="59">
        <v>56</v>
      </c>
      <c r="T21" s="105" t="str">
        <f t="shared" si="6"/>
        <v>PpoF56</v>
      </c>
      <c r="U21" s="105">
        <f>L12</f>
        <v>1</v>
      </c>
    </row>
    <row r="22" spans="1:21" ht="16.5" thickBot="1" x14ac:dyDescent="0.3">
      <c r="B22" s="28">
        <f t="shared" si="10"/>
        <v>2008</v>
      </c>
      <c r="C22" s="33" t="s">
        <v>24</v>
      </c>
      <c r="D22" s="30">
        <f>IF(ISNA(VLOOKUP($B22&amp;"-"&amp;$C22&amp;"-"&amp;D$3,'Extraction Effectifs 20180831'!$A:$F,6,FALSE)),0,VLOOKUP($B22&amp;"-"&amp;$C22&amp;"-"&amp;D$3,'Extraction Effectifs 20180831'!$A:$F,6,FALSE))</f>
        <v>8</v>
      </c>
      <c r="E22" s="31">
        <f>IF(ISNA(VLOOKUP($B22&amp;"-"&amp;$C22&amp;"-"&amp;E$3,'Extraction Effectifs 20180831'!$A:$F,6,FALSE)),0,VLOOKUP($B22&amp;"-"&amp;$C22&amp;"-"&amp;E$3,'Extraction Effectifs 20180831'!$A:$F,6,FALSE))</f>
        <v>13</v>
      </c>
      <c r="F22" s="31">
        <f>IF(ISNA(VLOOKUP($B22&amp;"-"&amp;$C22&amp;"-"&amp;F$3,'Extraction Effectifs 20180831'!$A:$F,6,FALSE)),0,VLOOKUP($B22&amp;"-"&amp;$C22&amp;"-"&amp;F$3,'Extraction Effectifs 20180831'!$A:$F,6,FALSE))</f>
        <v>30</v>
      </c>
      <c r="G22" s="31">
        <f>IF(ISNA(VLOOKUP($B22&amp;"-"&amp;$C22&amp;"-"&amp;G$3,'Extraction Effectifs 20180831'!$A:$F,6,FALSE)),0,VLOOKUP($B22&amp;"-"&amp;$C22&amp;"-"&amp;G$3,'Extraction Effectifs 20180831'!$A:$F,6,FALSE))</f>
        <v>26</v>
      </c>
      <c r="H22" s="99"/>
      <c r="I22" s="99"/>
      <c r="J22" s="99"/>
      <c r="K22" s="99"/>
      <c r="L22" s="101"/>
      <c r="M22" s="101"/>
      <c r="O22" s="59" t="s">
        <v>8</v>
      </c>
      <c r="P22" s="59" t="s">
        <v>10</v>
      </c>
      <c r="Q22" s="59" t="str">
        <f t="shared" si="0"/>
        <v>M</v>
      </c>
      <c r="R22" s="59" t="str">
        <f t="shared" si="1"/>
        <v>Min</v>
      </c>
      <c r="S22" s="59">
        <v>22</v>
      </c>
      <c r="T22" s="105" t="str">
        <f t="shared" si="6"/>
        <v>MinM22</v>
      </c>
      <c r="U22" s="105">
        <f>I17</f>
        <v>16</v>
      </c>
    </row>
    <row r="23" spans="1:21" ht="16.5" thickBot="1" x14ac:dyDescent="0.3">
      <c r="B23" s="30">
        <f t="shared" si="10"/>
        <v>2009</v>
      </c>
      <c r="C23" s="35" t="s">
        <v>24</v>
      </c>
      <c r="D23" s="28">
        <f>IF(ISNA(VLOOKUP($B23&amp;"-"&amp;$C23&amp;"-"&amp;D$3,'Extraction Effectifs 20180831'!$A:$F,6,FALSE)),0,VLOOKUP($B23&amp;"-"&amp;$C23&amp;"-"&amp;D$3,'Extraction Effectifs 20180831'!$A:$F,6,FALSE))</f>
        <v>8</v>
      </c>
      <c r="E23" s="29">
        <f>IF(ISNA(VLOOKUP($B23&amp;"-"&amp;$C23&amp;"-"&amp;E$3,'Extraction Effectifs 20180831'!$A:$F,6,FALSE)),0,VLOOKUP($B23&amp;"-"&amp;$C23&amp;"-"&amp;E$3,'Extraction Effectifs 20180831'!$A:$F,6,FALSE))</f>
        <v>5</v>
      </c>
      <c r="F23" s="29">
        <f>IF(ISNA(VLOOKUP($B23&amp;"-"&amp;$C23&amp;"-"&amp;F$3,'Extraction Effectifs 20180831'!$A:$F,6,FALSE)),0,VLOOKUP($B23&amp;"-"&amp;$C23&amp;"-"&amp;F$3,'Extraction Effectifs 20180831'!$A:$F,6,FALSE))</f>
        <v>23</v>
      </c>
      <c r="G23" s="29">
        <f>IF(ISNA(VLOOKUP($B23&amp;"-"&amp;$C23&amp;"-"&amp;G$3,'Extraction Effectifs 20180831'!$A:$F,6,FALSE)),0,VLOOKUP($B23&amp;"-"&amp;$C23&amp;"-"&amp;G$3,'Extraction Effectifs 20180831'!$A:$F,6,FALSE))</f>
        <v>22</v>
      </c>
      <c r="H23" s="98" t="str">
        <f>C22</f>
        <v>PouM</v>
      </c>
      <c r="I23" s="98">
        <f>D23+D24</f>
        <v>15</v>
      </c>
      <c r="J23" s="98">
        <f>E23+E24</f>
        <v>13</v>
      </c>
      <c r="K23" s="98">
        <f>F23+F24</f>
        <v>41</v>
      </c>
      <c r="L23" s="100">
        <f>G23+G24</f>
        <v>34</v>
      </c>
      <c r="M23" s="100">
        <f t="shared" ref="M23" si="13">SUM(I23:L24)</f>
        <v>103</v>
      </c>
      <c r="Q23" s="59" t="str">
        <f t="shared" si="0"/>
        <v>M</v>
      </c>
      <c r="R23" s="59" t="str">
        <f t="shared" si="1"/>
        <v>Min</v>
      </c>
      <c r="S23" s="59">
        <v>29</v>
      </c>
      <c r="T23" s="105" t="str">
        <f t="shared" si="6"/>
        <v>MinM29</v>
      </c>
      <c r="U23" s="105">
        <f>J17</f>
        <v>20</v>
      </c>
    </row>
    <row r="24" spans="1:21" ht="16.5" thickBot="1" x14ac:dyDescent="0.3">
      <c r="B24" s="28">
        <f t="shared" si="10"/>
        <v>2010</v>
      </c>
      <c r="C24" s="33" t="s">
        <v>25</v>
      </c>
      <c r="D24" s="30">
        <f>IF(ISNA(VLOOKUP($B24&amp;"-"&amp;$C24&amp;"-"&amp;D$3,'Extraction Effectifs 20180831'!$A:$F,6,FALSE)),0,VLOOKUP($B24&amp;"-"&amp;$C24&amp;"-"&amp;D$3,'Extraction Effectifs 20180831'!$A:$F,6,FALSE))</f>
        <v>7</v>
      </c>
      <c r="E24" s="31">
        <f>IF(ISNA(VLOOKUP($B24&amp;"-"&amp;$C24&amp;"-"&amp;E$3,'Extraction Effectifs 20180831'!$A:$F,6,FALSE)),0,VLOOKUP($B24&amp;"-"&amp;$C24&amp;"-"&amp;E$3,'Extraction Effectifs 20180831'!$A:$F,6,FALSE))</f>
        <v>8</v>
      </c>
      <c r="F24" s="31">
        <f>IF(ISNA(VLOOKUP($B24&amp;"-"&amp;$C24&amp;"-"&amp;F$3,'Extraction Effectifs 20180831'!$A:$F,6,FALSE)),0,VLOOKUP($B24&amp;"-"&amp;$C24&amp;"-"&amp;F$3,'Extraction Effectifs 20180831'!$A:$F,6,FALSE))</f>
        <v>18</v>
      </c>
      <c r="G24" s="31">
        <f>IF(ISNA(VLOOKUP($B24&amp;"-"&amp;$C24&amp;"-"&amp;G$3,'Extraction Effectifs 20180831'!$A:$F,6,FALSE)),0,VLOOKUP($B24&amp;"-"&amp;$C24&amp;"-"&amp;G$3,'Extraction Effectifs 20180831'!$A:$F,6,FALSE))</f>
        <v>12</v>
      </c>
      <c r="H24" s="99"/>
      <c r="I24" s="99"/>
      <c r="J24" s="99"/>
      <c r="K24" s="99"/>
      <c r="L24" s="101"/>
      <c r="M24" s="101"/>
      <c r="Q24" s="59" t="str">
        <f t="shared" si="0"/>
        <v>M</v>
      </c>
      <c r="R24" s="59" t="str">
        <f t="shared" si="1"/>
        <v>Min</v>
      </c>
      <c r="S24" s="59">
        <v>35</v>
      </c>
      <c r="T24" s="105" t="str">
        <f t="shared" si="6"/>
        <v>MinM35</v>
      </c>
      <c r="U24" s="105">
        <f>K17</f>
        <v>39</v>
      </c>
    </row>
    <row r="25" spans="1:21" x14ac:dyDescent="0.25">
      <c r="B25" s="32">
        <f t="shared" si="10"/>
        <v>2011</v>
      </c>
      <c r="C25" s="34" t="s">
        <v>25</v>
      </c>
      <c r="D25" s="28">
        <f>IF(ISNA(VLOOKUP($B25&amp;"-"&amp;$C25&amp;"-"&amp;D$3,'Extraction Effectifs 20180831'!$A:$F,6,FALSE)),0,VLOOKUP($B25&amp;"-"&amp;$C25&amp;"-"&amp;D$3,'Extraction Effectifs 20180831'!$A:$F,6,FALSE))</f>
        <v>2</v>
      </c>
      <c r="E25" s="29">
        <f>IF(ISNA(VLOOKUP($B25&amp;"-"&amp;$C25&amp;"-"&amp;E$3,'Extraction Effectifs 20180831'!$A:$F,6,FALSE)),0,VLOOKUP($B25&amp;"-"&amp;$C25&amp;"-"&amp;E$3,'Extraction Effectifs 20180831'!$A:$F,6,FALSE))</f>
        <v>3</v>
      </c>
      <c r="F25" s="29">
        <f>IF(ISNA(VLOOKUP($B25&amp;"-"&amp;$C25&amp;"-"&amp;F$3,'Extraction Effectifs 20180831'!$A:$F,6,FALSE)),0,VLOOKUP($B25&amp;"-"&amp;$C25&amp;"-"&amp;F$3,'Extraction Effectifs 20180831'!$A:$F,6,FALSE))</f>
        <v>7</v>
      </c>
      <c r="G25" s="29">
        <f>IF(ISNA(VLOOKUP($B25&amp;"-"&amp;$C25&amp;"-"&amp;G$3,'Extraction Effectifs 20180831'!$A:$F,6,FALSE)),0,VLOOKUP($B25&amp;"-"&amp;$C25&amp;"-"&amp;G$3,'Extraction Effectifs 20180831'!$A:$F,6,FALSE))</f>
        <v>8</v>
      </c>
      <c r="H25" s="98" t="str">
        <f>C24</f>
        <v>PpoM</v>
      </c>
      <c r="I25" s="98">
        <f>D25+D26</f>
        <v>4</v>
      </c>
      <c r="J25" s="98">
        <f>E25+E26</f>
        <v>3</v>
      </c>
      <c r="K25" s="98">
        <f>F25+F26</f>
        <v>8</v>
      </c>
      <c r="L25" s="100">
        <f>G25+G26</f>
        <v>8</v>
      </c>
      <c r="M25" s="100">
        <f t="shared" ref="M25" si="14">SUM(I25:L26)</f>
        <v>23</v>
      </c>
      <c r="Q25" s="59" t="str">
        <f t="shared" si="0"/>
        <v>M</v>
      </c>
      <c r="R25" s="59" t="str">
        <f t="shared" si="1"/>
        <v>Min</v>
      </c>
      <c r="S25" s="59">
        <v>56</v>
      </c>
      <c r="T25" s="105" t="str">
        <f t="shared" si="6"/>
        <v>MinM56</v>
      </c>
      <c r="U25" s="105">
        <f>L17</f>
        <v>17</v>
      </c>
    </row>
    <row r="26" spans="1:21" ht="16.5" thickBot="1" x14ac:dyDescent="0.3">
      <c r="B26" s="30">
        <f t="shared" si="10"/>
        <v>2012</v>
      </c>
      <c r="C26" s="35" t="s">
        <v>25</v>
      </c>
      <c r="D26" s="30">
        <f>IF(ISNA(VLOOKUP($B26&amp;"-"&amp;$C26&amp;"-"&amp;D$3,'Extraction Effectifs 20180831'!$A:$F,6,FALSE)),0,VLOOKUP($B26&amp;"-"&amp;$C26&amp;"-"&amp;D$3,'Extraction Effectifs 20180831'!$A:$F,6,FALSE))</f>
        <v>2</v>
      </c>
      <c r="E26" s="31">
        <f>IF(ISNA(VLOOKUP($B26&amp;"-"&amp;$C26&amp;"-"&amp;E$3,'Extraction Effectifs 20180831'!$A:$F,6,FALSE)),0,VLOOKUP($B26&amp;"-"&amp;$C26&amp;"-"&amp;E$3,'Extraction Effectifs 20180831'!$A:$F,6,FALSE))</f>
        <v>0</v>
      </c>
      <c r="F26" s="31">
        <f>IF(ISNA(VLOOKUP($B26&amp;"-"&amp;$C26&amp;"-"&amp;F$3,'Extraction Effectifs 20180831'!$A:$F,6,FALSE)),0,VLOOKUP($B26&amp;"-"&amp;$C26&amp;"-"&amp;F$3,'Extraction Effectifs 20180831'!$A:$F,6,FALSE))</f>
        <v>1</v>
      </c>
      <c r="G26" s="31">
        <f>IF(ISNA(VLOOKUP($B26&amp;"-"&amp;$C26&amp;"-"&amp;G$3,'Extraction Effectifs 20180831'!$A:$F,6,FALSE)),0,VLOOKUP($B26&amp;"-"&amp;$C26&amp;"-"&amp;G$3,'Extraction Effectifs 20180831'!$A:$F,6,FALSE))</f>
        <v>0</v>
      </c>
      <c r="H26" s="99"/>
      <c r="I26" s="99"/>
      <c r="J26" s="99"/>
      <c r="K26" s="99"/>
      <c r="L26" s="101"/>
      <c r="M26" s="101"/>
      <c r="P26" s="59" t="s">
        <v>11</v>
      </c>
      <c r="Q26" s="59" t="str">
        <f t="shared" si="0"/>
        <v>M</v>
      </c>
      <c r="R26" s="59" t="str">
        <f t="shared" si="1"/>
        <v>Ben</v>
      </c>
      <c r="S26" s="59">
        <v>22</v>
      </c>
      <c r="T26" s="105" t="str">
        <f t="shared" si="6"/>
        <v>BenM22</v>
      </c>
      <c r="U26" s="105">
        <f>I19</f>
        <v>23</v>
      </c>
    </row>
    <row r="27" spans="1:21" ht="16.5" thickBot="1" x14ac:dyDescent="0.3">
      <c r="Q27" s="59" t="str">
        <f t="shared" si="0"/>
        <v>M</v>
      </c>
      <c r="R27" s="59" t="str">
        <f t="shared" si="1"/>
        <v>Ben</v>
      </c>
      <c r="S27" s="59">
        <v>29</v>
      </c>
      <c r="T27" s="105" t="str">
        <f t="shared" si="6"/>
        <v>BenM29</v>
      </c>
      <c r="U27" s="105">
        <f>J19</f>
        <v>25</v>
      </c>
    </row>
    <row r="28" spans="1:21" x14ac:dyDescent="0.25">
      <c r="A28" s="27"/>
      <c r="Q28" s="59" t="str">
        <f t="shared" si="0"/>
        <v>M</v>
      </c>
      <c r="R28" s="59" t="str">
        <f t="shared" si="1"/>
        <v>Ben</v>
      </c>
      <c r="S28" s="59">
        <v>35</v>
      </c>
      <c r="T28" s="105" t="str">
        <f t="shared" si="6"/>
        <v>BenM35</v>
      </c>
      <c r="U28" s="105">
        <f>K19</f>
        <v>43</v>
      </c>
    </row>
    <row r="29" spans="1:21" x14ac:dyDescent="0.25">
      <c r="Q29" s="59" t="str">
        <f t="shared" si="0"/>
        <v>M</v>
      </c>
      <c r="R29" s="59" t="str">
        <f t="shared" si="1"/>
        <v>Ben</v>
      </c>
      <c r="S29" s="59">
        <v>56</v>
      </c>
      <c r="T29" s="105" t="str">
        <f t="shared" si="6"/>
        <v>BenM56</v>
      </c>
      <c r="U29" s="105">
        <f>L19</f>
        <v>30</v>
      </c>
    </row>
    <row r="30" spans="1:21" x14ac:dyDescent="0.25">
      <c r="P30" s="59" t="s">
        <v>12</v>
      </c>
      <c r="Q30" s="59" t="str">
        <f t="shared" si="0"/>
        <v>M</v>
      </c>
      <c r="R30" s="59" t="str">
        <f t="shared" si="1"/>
        <v>Pup</v>
      </c>
      <c r="S30" s="59">
        <v>22</v>
      </c>
      <c r="T30" s="105" t="str">
        <f t="shared" si="6"/>
        <v>PupM22</v>
      </c>
      <c r="U30" s="105">
        <f>I21</f>
        <v>20</v>
      </c>
    </row>
    <row r="31" spans="1:21" x14ac:dyDescent="0.25">
      <c r="Q31" s="59" t="str">
        <f t="shared" si="0"/>
        <v>M</v>
      </c>
      <c r="R31" s="59" t="str">
        <f t="shared" si="1"/>
        <v>Pup</v>
      </c>
      <c r="S31" s="59">
        <v>29</v>
      </c>
      <c r="T31" s="105" t="str">
        <f t="shared" si="6"/>
        <v>PupM29</v>
      </c>
      <c r="U31" s="105">
        <f>J21</f>
        <v>31</v>
      </c>
    </row>
    <row r="32" spans="1:21" x14ac:dyDescent="0.25">
      <c r="Q32" s="59" t="str">
        <f t="shared" si="0"/>
        <v>M</v>
      </c>
      <c r="R32" s="59" t="str">
        <f t="shared" si="1"/>
        <v>Pup</v>
      </c>
      <c r="S32" s="59">
        <v>35</v>
      </c>
      <c r="T32" s="105" t="str">
        <f t="shared" si="6"/>
        <v>PupM35</v>
      </c>
      <c r="U32" s="105">
        <f>K21</f>
        <v>65</v>
      </c>
    </row>
    <row r="33" spans="16:21" x14ac:dyDescent="0.25">
      <c r="Q33" s="59" t="str">
        <f t="shared" si="0"/>
        <v>M</v>
      </c>
      <c r="R33" s="59" t="str">
        <f t="shared" si="1"/>
        <v>Pup</v>
      </c>
      <c r="S33" s="59">
        <v>56</v>
      </c>
      <c r="T33" s="105" t="str">
        <f t="shared" si="6"/>
        <v>PupM56</v>
      </c>
      <c r="U33" s="105">
        <f>L21</f>
        <v>49</v>
      </c>
    </row>
    <row r="34" spans="16:21" x14ac:dyDescent="0.25">
      <c r="P34" s="59" t="s">
        <v>13</v>
      </c>
      <c r="Q34" s="59" t="str">
        <f t="shared" si="0"/>
        <v>M</v>
      </c>
      <c r="R34" s="59" t="str">
        <f t="shared" si="1"/>
        <v>Pou</v>
      </c>
      <c r="S34" s="59">
        <v>22</v>
      </c>
      <c r="T34" s="105" t="str">
        <f t="shared" si="6"/>
        <v>PouM22</v>
      </c>
      <c r="U34" s="105">
        <f>I23</f>
        <v>15</v>
      </c>
    </row>
    <row r="35" spans="16:21" x14ac:dyDescent="0.25">
      <c r="Q35" s="59" t="str">
        <f t="shared" si="0"/>
        <v>M</v>
      </c>
      <c r="R35" s="59" t="str">
        <f t="shared" si="1"/>
        <v>Pou</v>
      </c>
      <c r="S35" s="59">
        <v>29</v>
      </c>
      <c r="T35" s="105" t="str">
        <f t="shared" si="6"/>
        <v>PouM29</v>
      </c>
      <c r="U35" s="105">
        <f>J23</f>
        <v>13</v>
      </c>
    </row>
    <row r="36" spans="16:21" x14ac:dyDescent="0.25">
      <c r="Q36" s="59" t="str">
        <f t="shared" si="0"/>
        <v>M</v>
      </c>
      <c r="R36" s="59" t="str">
        <f t="shared" si="1"/>
        <v>Pou</v>
      </c>
      <c r="S36" s="59">
        <v>35</v>
      </c>
      <c r="T36" s="105" t="str">
        <f t="shared" si="6"/>
        <v>PouM35</v>
      </c>
      <c r="U36" s="105">
        <f>K23</f>
        <v>41</v>
      </c>
    </row>
    <row r="37" spans="16:21" x14ac:dyDescent="0.25">
      <c r="Q37" s="59" t="str">
        <f t="shared" si="0"/>
        <v>M</v>
      </c>
      <c r="R37" s="59" t="str">
        <f t="shared" si="1"/>
        <v>Pou</v>
      </c>
      <c r="S37" s="59">
        <v>56</v>
      </c>
      <c r="T37" s="105" t="str">
        <f t="shared" si="6"/>
        <v>PouM56</v>
      </c>
      <c r="U37" s="105">
        <f>L23</f>
        <v>34</v>
      </c>
    </row>
    <row r="38" spans="16:21" x14ac:dyDescent="0.25">
      <c r="P38" s="59" t="s">
        <v>15</v>
      </c>
      <c r="Q38" s="59" t="str">
        <f t="shared" si="0"/>
        <v>M</v>
      </c>
      <c r="R38" s="59" t="str">
        <f t="shared" si="1"/>
        <v>Ppo</v>
      </c>
      <c r="S38" s="59">
        <v>22</v>
      </c>
      <c r="T38" s="105" t="str">
        <f t="shared" si="6"/>
        <v>PpoM22</v>
      </c>
      <c r="U38" s="105">
        <f>I25</f>
        <v>4</v>
      </c>
    </row>
    <row r="39" spans="16:21" x14ac:dyDescent="0.25">
      <c r="Q39" s="59" t="str">
        <f t="shared" si="0"/>
        <v>M</v>
      </c>
      <c r="R39" s="59" t="str">
        <f t="shared" si="1"/>
        <v>Ppo</v>
      </c>
      <c r="S39" s="59">
        <v>29</v>
      </c>
      <c r="T39" s="105" t="str">
        <f t="shared" si="6"/>
        <v>PpoM29</v>
      </c>
      <c r="U39" s="105">
        <f>J25</f>
        <v>3</v>
      </c>
    </row>
    <row r="40" spans="16:21" x14ac:dyDescent="0.25">
      <c r="Q40" s="59" t="str">
        <f t="shared" si="0"/>
        <v>M</v>
      </c>
      <c r="R40" s="59" t="str">
        <f t="shared" si="1"/>
        <v>Ppo</v>
      </c>
      <c r="S40" s="59">
        <v>35</v>
      </c>
      <c r="T40" s="105" t="str">
        <f t="shared" si="6"/>
        <v>PpoM35</v>
      </c>
      <c r="U40" s="105">
        <f>K25</f>
        <v>8</v>
      </c>
    </row>
    <row r="41" spans="16:21" x14ac:dyDescent="0.25">
      <c r="Q41" s="59" t="str">
        <f t="shared" si="0"/>
        <v>M</v>
      </c>
      <c r="R41" s="59" t="str">
        <f t="shared" si="1"/>
        <v>Ppo</v>
      </c>
      <c r="S41" s="59">
        <v>56</v>
      </c>
      <c r="T41" s="105" t="str">
        <f t="shared" si="6"/>
        <v>PpoM56</v>
      </c>
      <c r="U41" s="105">
        <f>L25</f>
        <v>8</v>
      </c>
    </row>
  </sheetData>
  <mergeCells count="70">
    <mergeCell ref="M17:M18"/>
    <mergeCell ref="M19:M20"/>
    <mergeCell ref="M21:M22"/>
    <mergeCell ref="M23:M24"/>
    <mergeCell ref="M25:M26"/>
    <mergeCell ref="M4:M5"/>
    <mergeCell ref="M6:M7"/>
    <mergeCell ref="M8:M9"/>
    <mergeCell ref="M10:M11"/>
    <mergeCell ref="M12:M13"/>
    <mergeCell ref="I2:L2"/>
    <mergeCell ref="H4:H5"/>
    <mergeCell ref="I4:I5"/>
    <mergeCell ref="J4:J5"/>
    <mergeCell ref="K4:K5"/>
    <mergeCell ref="L4:L5"/>
    <mergeCell ref="I6:I7"/>
    <mergeCell ref="J6:J7"/>
    <mergeCell ref="K6:K7"/>
    <mergeCell ref="L6:L7"/>
    <mergeCell ref="H8:H9"/>
    <mergeCell ref="I8:I9"/>
    <mergeCell ref="J8:J9"/>
    <mergeCell ref="K8:K9"/>
    <mergeCell ref="L8:L9"/>
    <mergeCell ref="H6:H7"/>
    <mergeCell ref="I10:I11"/>
    <mergeCell ref="J10:J11"/>
    <mergeCell ref="K10:K11"/>
    <mergeCell ref="L10:L11"/>
    <mergeCell ref="H12:H13"/>
    <mergeCell ref="I12:I13"/>
    <mergeCell ref="J12:J13"/>
    <mergeCell ref="K12:K13"/>
    <mergeCell ref="L12:L13"/>
    <mergeCell ref="I15:L15"/>
    <mergeCell ref="H17:H18"/>
    <mergeCell ref="I17:I18"/>
    <mergeCell ref="J17:J18"/>
    <mergeCell ref="K17:K18"/>
    <mergeCell ref="L17:L18"/>
    <mergeCell ref="J23:J24"/>
    <mergeCell ref="K23:K24"/>
    <mergeCell ref="H25:H26"/>
    <mergeCell ref="I25:I26"/>
    <mergeCell ref="J25:J26"/>
    <mergeCell ref="K25:K26"/>
    <mergeCell ref="L25:L26"/>
    <mergeCell ref="K21:K22"/>
    <mergeCell ref="L21:L22"/>
    <mergeCell ref="L23:L24"/>
    <mergeCell ref="C15:C16"/>
    <mergeCell ref="H15:H16"/>
    <mergeCell ref="L19:L20"/>
    <mergeCell ref="H21:H22"/>
    <mergeCell ref="I21:I22"/>
    <mergeCell ref="J21:J22"/>
    <mergeCell ref="H19:H20"/>
    <mergeCell ref="I19:I20"/>
    <mergeCell ref="J19:J20"/>
    <mergeCell ref="K19:K20"/>
    <mergeCell ref="H23:H24"/>
    <mergeCell ref="I23:I24"/>
    <mergeCell ref="B15:B16"/>
    <mergeCell ref="B2:B3"/>
    <mergeCell ref="C2:C3"/>
    <mergeCell ref="H2:H3"/>
    <mergeCell ref="H10:H11"/>
    <mergeCell ref="D2:G2"/>
    <mergeCell ref="D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7" sqref="C17"/>
    </sheetView>
  </sheetViews>
  <sheetFormatPr baseColWidth="10" defaultRowHeight="15" x14ac:dyDescent="0.25"/>
  <cols>
    <col min="1" max="1" width="10.140625" style="5" customWidth="1"/>
    <col min="2" max="2" width="11.42578125" style="83"/>
    <col min="3" max="16384" width="11.42578125" style="5"/>
  </cols>
  <sheetData>
    <row r="1" spans="1:2" ht="45" x14ac:dyDescent="0.25">
      <c r="A1" s="86" t="s">
        <v>47</v>
      </c>
      <c r="B1" s="87" t="s">
        <v>44</v>
      </c>
    </row>
    <row r="2" spans="1:2" x14ac:dyDescent="0.25">
      <c r="A2" s="84" t="s">
        <v>19</v>
      </c>
      <c r="B2" s="92">
        <v>5</v>
      </c>
    </row>
    <row r="3" spans="1:2" x14ac:dyDescent="0.25">
      <c r="A3" s="84" t="s">
        <v>20</v>
      </c>
      <c r="B3" s="92">
        <v>4</v>
      </c>
    </row>
    <row r="4" spans="1:2" x14ac:dyDescent="0.25">
      <c r="A4" s="84" t="s">
        <v>21</v>
      </c>
      <c r="B4" s="92">
        <v>3</v>
      </c>
    </row>
    <row r="5" spans="1:2" x14ac:dyDescent="0.25">
      <c r="A5" s="84" t="s">
        <v>22</v>
      </c>
      <c r="B5" s="92">
        <v>4</v>
      </c>
    </row>
    <row r="6" spans="1:2" x14ac:dyDescent="0.25">
      <c r="A6" s="84" t="s">
        <v>23</v>
      </c>
      <c r="B6" s="92">
        <v>2</v>
      </c>
    </row>
    <row r="7" spans="1:2" x14ac:dyDescent="0.25">
      <c r="A7" s="84" t="s">
        <v>16</v>
      </c>
      <c r="B7" s="92">
        <v>8</v>
      </c>
    </row>
    <row r="8" spans="1:2" x14ac:dyDescent="0.25">
      <c r="A8" s="84" t="s">
        <v>17</v>
      </c>
      <c r="B8" s="92">
        <v>7</v>
      </c>
    </row>
    <row r="9" spans="1:2" x14ac:dyDescent="0.25">
      <c r="A9" s="84" t="s">
        <v>18</v>
      </c>
      <c r="B9" s="92">
        <v>7</v>
      </c>
    </row>
    <row r="10" spans="1:2" x14ac:dyDescent="0.25">
      <c r="A10" s="84" t="s">
        <v>24</v>
      </c>
      <c r="B10" s="92">
        <v>6</v>
      </c>
    </row>
    <row r="11" spans="1:2" x14ac:dyDescent="0.25">
      <c r="A11" s="84" t="s">
        <v>25</v>
      </c>
      <c r="B11" s="92">
        <v>4</v>
      </c>
    </row>
    <row r="12" spans="1:2" x14ac:dyDescent="0.25">
      <c r="A12" s="86" t="s">
        <v>29</v>
      </c>
      <c r="B12" s="88">
        <f>SUM(B2:B11)</f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H26" sqref="H26"/>
    </sheetView>
  </sheetViews>
  <sheetFormatPr baseColWidth="10" defaultRowHeight="15" x14ac:dyDescent="0.25"/>
  <cols>
    <col min="1" max="1" width="27.85546875" style="5" customWidth="1"/>
    <col min="2" max="2" width="5.42578125" style="5" customWidth="1"/>
    <col min="3" max="3" width="2.7109375" style="5" customWidth="1"/>
    <col min="4" max="4" width="7.5703125" style="5" customWidth="1"/>
    <col min="5" max="12" width="10.28515625" style="83" customWidth="1"/>
    <col min="13" max="13" width="4.28515625" style="5" customWidth="1"/>
    <col min="14" max="14" width="5.5703125" style="89" customWidth="1"/>
    <col min="15" max="16" width="8.42578125" style="5" customWidth="1"/>
    <col min="17" max="17" width="8.140625" style="5" customWidth="1"/>
    <col min="18" max="18" width="5.5703125" style="89" customWidth="1"/>
    <col min="19" max="20" width="8.42578125" style="5" customWidth="1"/>
    <col min="21" max="21" width="13" style="5" customWidth="1"/>
    <col min="22" max="16384" width="11.42578125" style="5"/>
  </cols>
  <sheetData>
    <row r="1" spans="1:12" x14ac:dyDescent="0.25">
      <c r="A1" s="5" t="s">
        <v>56</v>
      </c>
      <c r="B1" s="5">
        <v>150</v>
      </c>
    </row>
    <row r="2" spans="1:12" x14ac:dyDescent="0.25">
      <c r="A2" s="5" t="s">
        <v>49</v>
      </c>
      <c r="B2" s="107">
        <f>1/3</f>
        <v>0.33333333333333331</v>
      </c>
    </row>
    <row r="3" spans="1:12" x14ac:dyDescent="0.25">
      <c r="A3" s="5" t="s">
        <v>50</v>
      </c>
      <c r="B3" s="107">
        <f>1-B2</f>
        <v>0.66666666666666674</v>
      </c>
    </row>
    <row r="4" spans="1:12" x14ac:dyDescent="0.25">
      <c r="A4" s="5" t="s">
        <v>52</v>
      </c>
      <c r="B4" s="5">
        <v>10</v>
      </c>
    </row>
    <row r="5" spans="1:12" x14ac:dyDescent="0.25">
      <c r="A5" s="5" t="s">
        <v>53</v>
      </c>
      <c r="B5" s="5">
        <v>24</v>
      </c>
    </row>
    <row r="6" spans="1:12" x14ac:dyDescent="0.25">
      <c r="D6" s="6"/>
      <c r="E6" s="67"/>
      <c r="F6" s="67"/>
      <c r="G6" s="67"/>
      <c r="H6" s="67"/>
      <c r="I6" s="67"/>
      <c r="J6" s="67"/>
      <c r="K6" s="67"/>
      <c r="L6" s="67"/>
    </row>
    <row r="7" spans="1:12" ht="45" x14ac:dyDescent="0.25">
      <c r="C7" s="6"/>
      <c r="D7" s="108"/>
      <c r="E7" s="109" t="s">
        <v>54</v>
      </c>
      <c r="F7" s="109" t="s">
        <v>55</v>
      </c>
      <c r="G7" s="109" t="str">
        <f>"Part
Effectifs
("&amp;ROUND(100*B2,0)&amp;"%)"</f>
        <v>Part
Effectifs
(33%)</v>
      </c>
      <c r="H7" s="109" t="str">
        <f>"Part
Qualifiés
("&amp;ROUND(100*B3,0)&amp;"%)"</f>
        <v>Part
Qualifiés
(67%)</v>
      </c>
      <c r="I7" s="109" t="s">
        <v>45</v>
      </c>
      <c r="J7" s="109" t="s">
        <v>46</v>
      </c>
      <c r="K7" s="109" t="s">
        <v>48</v>
      </c>
      <c r="L7" s="109" t="s">
        <v>51</v>
      </c>
    </row>
    <row r="8" spans="1:12" x14ac:dyDescent="0.25">
      <c r="D8" s="86" t="s">
        <v>19</v>
      </c>
      <c r="E8" s="85">
        <f>VLOOKUP(D8,'Calcul Effectifs Référence'!Z:AA,2,FALSE)</f>
        <v>18</v>
      </c>
      <c r="F8" s="85">
        <f>VLOOKUP(D8,'Places France jeunes'!A:B,2,FALSE)</f>
        <v>5</v>
      </c>
      <c r="G8" s="106">
        <f>E8/E$18</f>
        <v>2.9556650246305417E-2</v>
      </c>
      <c r="H8" s="106">
        <f>F8/F$18</f>
        <v>0.1</v>
      </c>
      <c r="I8" s="44">
        <f>$B$1*G8*$B$2</f>
        <v>1.4778325123152707</v>
      </c>
      <c r="J8" s="44">
        <f>$B$1*H8*$B$3</f>
        <v>10.000000000000002</v>
      </c>
      <c r="K8" s="85">
        <f>ROUNDUP(SUM(I8:J8),0)</f>
        <v>12</v>
      </c>
      <c r="L8" s="88">
        <f>MAX($B$4,MIN($B$5,K8))</f>
        <v>12</v>
      </c>
    </row>
    <row r="9" spans="1:12" x14ac:dyDescent="0.25">
      <c r="D9" s="86" t="s">
        <v>20</v>
      </c>
      <c r="E9" s="85">
        <f>VLOOKUP(D9,'Calcul Effectifs Référence'!Z:AA,2,FALSE)</f>
        <v>28</v>
      </c>
      <c r="F9" s="85">
        <f>VLOOKUP(D9,'Places France jeunes'!A:B,2,FALSE)</f>
        <v>4</v>
      </c>
      <c r="G9" s="106">
        <f t="shared" ref="G9:G17" si="0">E9/E$18</f>
        <v>4.5977011494252873E-2</v>
      </c>
      <c r="H9" s="106">
        <f t="shared" ref="H9:H17" si="1">F9/F$18</f>
        <v>0.08</v>
      </c>
      <c r="I9" s="44">
        <f t="shared" ref="I9:I17" si="2">$B$1*G9*$B$2</f>
        <v>2.2988505747126435</v>
      </c>
      <c r="J9" s="44">
        <f t="shared" ref="J9:J17" si="3">$B$1*H9*$B$3</f>
        <v>8</v>
      </c>
      <c r="K9" s="85">
        <f t="shared" ref="K9:K17" si="4">ROUNDUP(SUM(I9:J9),0)</f>
        <v>11</v>
      </c>
      <c r="L9" s="88">
        <f t="shared" ref="L9:L17" si="5">MAX($B$4,MIN($B$5,K9))</f>
        <v>11</v>
      </c>
    </row>
    <row r="10" spans="1:12" x14ac:dyDescent="0.25">
      <c r="D10" s="86" t="s">
        <v>21</v>
      </c>
      <c r="E10" s="85">
        <f>VLOOKUP(D10,'Calcul Effectifs Référence'!Z:AA,2,FALSE)</f>
        <v>27</v>
      </c>
      <c r="F10" s="85">
        <f>VLOOKUP(D10,'Places France jeunes'!A:B,2,FALSE)</f>
        <v>3</v>
      </c>
      <c r="G10" s="106">
        <f t="shared" si="0"/>
        <v>4.4334975369458129E-2</v>
      </c>
      <c r="H10" s="106">
        <f t="shared" si="1"/>
        <v>0.06</v>
      </c>
      <c r="I10" s="44">
        <f t="shared" si="2"/>
        <v>2.2167487684729066</v>
      </c>
      <c r="J10" s="44">
        <f t="shared" si="3"/>
        <v>6.0000000000000009</v>
      </c>
      <c r="K10" s="85">
        <f t="shared" si="4"/>
        <v>9</v>
      </c>
      <c r="L10" s="88">
        <f t="shared" si="5"/>
        <v>10</v>
      </c>
    </row>
    <row r="11" spans="1:12" x14ac:dyDescent="0.25">
      <c r="D11" s="86" t="s">
        <v>22</v>
      </c>
      <c r="E11" s="85">
        <f>VLOOKUP(D11,'Calcul Effectifs Référence'!Z:AA,2,FALSE)</f>
        <v>27</v>
      </c>
      <c r="F11" s="85">
        <f>VLOOKUP(D11,'Places France jeunes'!A:B,2,FALSE)</f>
        <v>4</v>
      </c>
      <c r="G11" s="106">
        <f t="shared" si="0"/>
        <v>4.4334975369458129E-2</v>
      </c>
      <c r="H11" s="106">
        <f t="shared" si="1"/>
        <v>0.08</v>
      </c>
      <c r="I11" s="44">
        <f t="shared" si="2"/>
        <v>2.2167487684729066</v>
      </c>
      <c r="J11" s="44">
        <f t="shared" si="3"/>
        <v>8</v>
      </c>
      <c r="K11" s="85">
        <f t="shared" si="4"/>
        <v>11</v>
      </c>
      <c r="L11" s="88">
        <f t="shared" si="5"/>
        <v>11</v>
      </c>
    </row>
    <row r="12" spans="1:12" x14ac:dyDescent="0.25">
      <c r="D12" s="86" t="s">
        <v>23</v>
      </c>
      <c r="E12" s="85">
        <f>VLOOKUP(D12,'Calcul Effectifs Référence'!Z:AA,2,FALSE)</f>
        <v>5</v>
      </c>
      <c r="F12" s="85">
        <f>VLOOKUP(D12,'Places France jeunes'!A:B,2,FALSE)</f>
        <v>2</v>
      </c>
      <c r="G12" s="106">
        <f t="shared" si="0"/>
        <v>8.2101806239737278E-3</v>
      </c>
      <c r="H12" s="106">
        <f t="shared" si="1"/>
        <v>0.04</v>
      </c>
      <c r="I12" s="44">
        <f t="shared" si="2"/>
        <v>0.41050903119868637</v>
      </c>
      <c r="J12" s="44">
        <f t="shared" si="3"/>
        <v>4</v>
      </c>
      <c r="K12" s="85">
        <f t="shared" si="4"/>
        <v>5</v>
      </c>
      <c r="L12" s="88">
        <f t="shared" si="5"/>
        <v>10</v>
      </c>
    </row>
    <row r="13" spans="1:12" x14ac:dyDescent="0.25">
      <c r="D13" s="86" t="s">
        <v>16</v>
      </c>
      <c r="E13" s="85">
        <f>VLOOKUP(D13,'Calcul Effectifs Référence'!Z:AA,2,FALSE)</f>
        <v>92</v>
      </c>
      <c r="F13" s="85">
        <f>VLOOKUP(D13,'Places France jeunes'!A:B,2,FALSE)</f>
        <v>8</v>
      </c>
      <c r="G13" s="106">
        <f t="shared" si="0"/>
        <v>0.15106732348111659</v>
      </c>
      <c r="H13" s="106">
        <f t="shared" si="1"/>
        <v>0.16</v>
      </c>
      <c r="I13" s="44">
        <f t="shared" si="2"/>
        <v>7.5533661740558289</v>
      </c>
      <c r="J13" s="44">
        <f t="shared" si="3"/>
        <v>16</v>
      </c>
      <c r="K13" s="85">
        <f t="shared" si="4"/>
        <v>24</v>
      </c>
      <c r="L13" s="88">
        <f t="shared" si="5"/>
        <v>24</v>
      </c>
    </row>
    <row r="14" spans="1:12" x14ac:dyDescent="0.25">
      <c r="D14" s="86" t="s">
        <v>17</v>
      </c>
      <c r="E14" s="85">
        <f>VLOOKUP(D14,'Calcul Effectifs Référence'!Z:AA,2,FALSE)</f>
        <v>121</v>
      </c>
      <c r="F14" s="85">
        <f>VLOOKUP(D14,'Places France jeunes'!A:B,2,FALSE)</f>
        <v>7</v>
      </c>
      <c r="G14" s="106">
        <f t="shared" si="0"/>
        <v>0.19868637110016421</v>
      </c>
      <c r="H14" s="106">
        <f t="shared" si="1"/>
        <v>0.14000000000000001</v>
      </c>
      <c r="I14" s="44">
        <f t="shared" si="2"/>
        <v>9.9343185550082094</v>
      </c>
      <c r="J14" s="44">
        <f t="shared" si="3"/>
        <v>14.000000000000004</v>
      </c>
      <c r="K14" s="85">
        <f t="shared" si="4"/>
        <v>24</v>
      </c>
      <c r="L14" s="88">
        <f t="shared" si="5"/>
        <v>24</v>
      </c>
    </row>
    <row r="15" spans="1:12" x14ac:dyDescent="0.25">
      <c r="D15" s="86" t="s">
        <v>18</v>
      </c>
      <c r="E15" s="85">
        <f>VLOOKUP(D15,'Calcul Effectifs Référence'!Z:AA,2,FALSE)</f>
        <v>165</v>
      </c>
      <c r="F15" s="85">
        <f>VLOOKUP(D15,'Places France jeunes'!A:B,2,FALSE)</f>
        <v>7</v>
      </c>
      <c r="G15" s="106">
        <f t="shared" si="0"/>
        <v>0.27093596059113301</v>
      </c>
      <c r="H15" s="106">
        <f t="shared" si="1"/>
        <v>0.14000000000000001</v>
      </c>
      <c r="I15" s="44">
        <f t="shared" si="2"/>
        <v>13.546798029556649</v>
      </c>
      <c r="J15" s="44">
        <f t="shared" si="3"/>
        <v>14.000000000000004</v>
      </c>
      <c r="K15" s="85">
        <f t="shared" si="4"/>
        <v>28</v>
      </c>
      <c r="L15" s="88">
        <f t="shared" si="5"/>
        <v>24</v>
      </c>
    </row>
    <row r="16" spans="1:12" x14ac:dyDescent="0.25">
      <c r="D16" s="86" t="s">
        <v>24</v>
      </c>
      <c r="E16" s="85">
        <f>VLOOKUP(D16,'Calcul Effectifs Référence'!Z:AA,2,FALSE)</f>
        <v>103</v>
      </c>
      <c r="F16" s="85">
        <f>VLOOKUP(D16,'Places France jeunes'!A:B,2,FALSE)</f>
        <v>6</v>
      </c>
      <c r="G16" s="106">
        <f t="shared" si="0"/>
        <v>0.16912972085385877</v>
      </c>
      <c r="H16" s="106">
        <f t="shared" si="1"/>
        <v>0.12</v>
      </c>
      <c r="I16" s="44">
        <f t="shared" si="2"/>
        <v>8.4564860426929371</v>
      </c>
      <c r="J16" s="44">
        <f t="shared" si="3"/>
        <v>12.000000000000002</v>
      </c>
      <c r="K16" s="85">
        <f t="shared" si="4"/>
        <v>21</v>
      </c>
      <c r="L16" s="88">
        <f t="shared" si="5"/>
        <v>21</v>
      </c>
    </row>
    <row r="17" spans="3:20" x14ac:dyDescent="0.25">
      <c r="D17" s="86" t="s">
        <v>25</v>
      </c>
      <c r="E17" s="85">
        <f>VLOOKUP(D17,'Calcul Effectifs Référence'!Z:AA,2,FALSE)</f>
        <v>23</v>
      </c>
      <c r="F17" s="85">
        <f>VLOOKUP(D17,'Places France jeunes'!A:B,2,FALSE)</f>
        <v>4</v>
      </c>
      <c r="G17" s="106">
        <f t="shared" si="0"/>
        <v>3.7766830870279149E-2</v>
      </c>
      <c r="H17" s="106">
        <f t="shared" si="1"/>
        <v>0.08</v>
      </c>
      <c r="I17" s="44">
        <f t="shared" si="2"/>
        <v>1.8883415435139572</v>
      </c>
      <c r="J17" s="44">
        <f t="shared" si="3"/>
        <v>8</v>
      </c>
      <c r="K17" s="85">
        <f t="shared" si="4"/>
        <v>10</v>
      </c>
      <c r="L17" s="88">
        <f t="shared" si="5"/>
        <v>10</v>
      </c>
    </row>
    <row r="18" spans="3:20" x14ac:dyDescent="0.25">
      <c r="C18" s="6"/>
      <c r="D18" s="110" t="s">
        <v>29</v>
      </c>
      <c r="E18" s="111">
        <f>SUM(E8:E17)</f>
        <v>609</v>
      </c>
      <c r="F18" s="111">
        <f>SUM(F8:F17)</f>
        <v>50</v>
      </c>
      <c r="G18" s="112">
        <f>SUM(G8:G17)</f>
        <v>1</v>
      </c>
      <c r="H18" s="112">
        <f>SUM(H8:H17)</f>
        <v>1</v>
      </c>
      <c r="I18" s="113">
        <f t="shared" ref="I18:L18" si="6">SUM(I8:I17)</f>
        <v>49.999999999999993</v>
      </c>
      <c r="J18" s="113">
        <f t="shared" si="6"/>
        <v>100</v>
      </c>
      <c r="K18" s="111">
        <f t="shared" si="6"/>
        <v>155</v>
      </c>
      <c r="L18" s="111">
        <f t="shared" si="6"/>
        <v>157</v>
      </c>
    </row>
    <row r="19" spans="3:20" x14ac:dyDescent="0.25">
      <c r="O19" s="83" t="s">
        <v>7</v>
      </c>
      <c r="P19" s="83" t="s">
        <v>8</v>
      </c>
      <c r="Q19" s="93"/>
      <c r="R19" s="5"/>
      <c r="S19" s="83" t="s">
        <v>7</v>
      </c>
      <c r="T19" s="83" t="s">
        <v>8</v>
      </c>
    </row>
    <row r="20" spans="3:20" x14ac:dyDescent="0.25">
      <c r="O20" s="83">
        <v>3</v>
      </c>
      <c r="P20" s="83">
        <v>3</v>
      </c>
      <c r="Q20" s="93"/>
      <c r="S20" s="83">
        <v>9</v>
      </c>
      <c r="T20" s="83">
        <v>9</v>
      </c>
    </row>
    <row r="21" spans="3:20" ht="15.75" thickBot="1" x14ac:dyDescent="0.3">
      <c r="N21" s="90"/>
      <c r="O21" s="77" t="s">
        <v>9</v>
      </c>
      <c r="P21" s="77" t="s">
        <v>14</v>
      </c>
      <c r="R21" s="90"/>
      <c r="S21" s="77" t="s">
        <v>9</v>
      </c>
      <c r="T21" s="77" t="s">
        <v>14</v>
      </c>
    </row>
    <row r="22" spans="3:20" x14ac:dyDescent="0.25">
      <c r="N22" s="91" t="s">
        <v>10</v>
      </c>
      <c r="O22" s="60">
        <f>VLOOKUP($R22&amp;O$19,$D$8:$L$17,O$20,FALSE)</f>
        <v>5</v>
      </c>
      <c r="P22" s="78">
        <f>VLOOKUP($R22&amp;P$19,$D$8:$L$17,P$20,FALSE)</f>
        <v>8</v>
      </c>
      <c r="R22" s="91" t="s">
        <v>10</v>
      </c>
      <c r="S22" s="60">
        <f>VLOOKUP($R22&amp;S$19,$D$8:$L$17,S$20,FALSE)</f>
        <v>12</v>
      </c>
      <c r="T22" s="78">
        <f>VLOOKUP($R22&amp;T$19,$D$8:$L$17,T$20,FALSE)</f>
        <v>24</v>
      </c>
    </row>
    <row r="23" spans="3:20" x14ac:dyDescent="0.25">
      <c r="N23" s="91" t="s">
        <v>11</v>
      </c>
      <c r="O23" s="61">
        <f>VLOOKUP($R23&amp;O$19,$D$8:$L$17,O$20,FALSE)</f>
        <v>4</v>
      </c>
      <c r="P23" s="79">
        <f>VLOOKUP($R23&amp;P$19,$D$8:$L$17,P$20,FALSE)</f>
        <v>7</v>
      </c>
      <c r="R23" s="91" t="s">
        <v>11</v>
      </c>
      <c r="S23" s="61">
        <f>VLOOKUP($R23&amp;S$19,$D$8:$L$17,S$20,FALSE)</f>
        <v>11</v>
      </c>
      <c r="T23" s="79">
        <f>VLOOKUP($R23&amp;T$19,$D$8:$L$17,T$20,FALSE)</f>
        <v>24</v>
      </c>
    </row>
    <row r="24" spans="3:20" x14ac:dyDescent="0.25">
      <c r="N24" s="91" t="s">
        <v>12</v>
      </c>
      <c r="O24" s="61">
        <f>VLOOKUP($R24&amp;O$19,$D$8:$L$17,O$20,FALSE)</f>
        <v>3</v>
      </c>
      <c r="P24" s="79">
        <f>VLOOKUP($R24&amp;P$19,$D$8:$L$17,P$20,FALSE)</f>
        <v>7</v>
      </c>
      <c r="R24" s="91" t="s">
        <v>12</v>
      </c>
      <c r="S24" s="61">
        <f>VLOOKUP($R24&amp;S$19,$D$8:$L$17,S$20,FALSE)</f>
        <v>10</v>
      </c>
      <c r="T24" s="79">
        <f>VLOOKUP($R24&amp;T$19,$D$8:$L$17,T$20,FALSE)</f>
        <v>24</v>
      </c>
    </row>
    <row r="25" spans="3:20" x14ac:dyDescent="0.25">
      <c r="N25" s="91" t="s">
        <v>13</v>
      </c>
      <c r="O25" s="61">
        <f>VLOOKUP($R25&amp;O$19,$D$8:$L$17,O$20,FALSE)</f>
        <v>4</v>
      </c>
      <c r="P25" s="79">
        <f>VLOOKUP($R25&amp;P$19,$D$8:$L$17,P$20,FALSE)</f>
        <v>6</v>
      </c>
      <c r="R25" s="91" t="s">
        <v>13</v>
      </c>
      <c r="S25" s="61">
        <f>VLOOKUP($R25&amp;S$19,$D$8:$L$17,S$20,FALSE)</f>
        <v>11</v>
      </c>
      <c r="T25" s="79">
        <f>VLOOKUP($R25&amp;T$19,$D$8:$L$17,T$20,FALSE)</f>
        <v>21</v>
      </c>
    </row>
    <row r="26" spans="3:20" ht="15.75" thickBot="1" x14ac:dyDescent="0.3">
      <c r="N26" s="91" t="s">
        <v>15</v>
      </c>
      <c r="O26" s="62">
        <f>VLOOKUP($R26&amp;O$19,$D$8:$L$17,O$20,FALSE)</f>
        <v>2</v>
      </c>
      <c r="P26" s="80">
        <f>VLOOKUP($R26&amp;P$19,$D$8:$L$17,P$20,FALSE)</f>
        <v>4</v>
      </c>
      <c r="R26" s="91" t="s">
        <v>15</v>
      </c>
      <c r="S26" s="62">
        <f>VLOOKUP($R26&amp;S$19,$D$8:$L$17,S$20,FALSE)</f>
        <v>10</v>
      </c>
      <c r="T26" s="80">
        <f>VLOOKUP($R26&amp;T$19,$D$8:$L$17,T$20,FALSE)</f>
        <v>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2"/>
  <sheetViews>
    <sheetView workbookViewId="0">
      <selection activeCell="Q9" sqref="Q9:X71"/>
    </sheetView>
  </sheetViews>
  <sheetFormatPr baseColWidth="10" defaultColWidth="9.140625" defaultRowHeight="15" x14ac:dyDescent="0.25"/>
  <cols>
    <col min="1" max="1" width="9.140625" style="5"/>
    <col min="2" max="2" width="7" style="5" customWidth="1"/>
    <col min="3" max="3" width="1" style="5" customWidth="1"/>
    <col min="4" max="4" width="6.85546875" style="5" bestFit="1" customWidth="1"/>
    <col min="5" max="5" width="7.42578125" style="5" bestFit="1" customWidth="1"/>
    <col min="6" max="6" width="6.5703125" style="5" bestFit="1" customWidth="1"/>
    <col min="7" max="7" width="13.7109375" style="5" bestFit="1" customWidth="1"/>
    <col min="8" max="8" width="9.140625" style="5" bestFit="1" customWidth="1"/>
    <col min="9" max="9" width="18" style="5" bestFit="1" customWidth="1"/>
    <col min="10" max="10" width="8.85546875" style="5" customWidth="1"/>
    <col min="11" max="11" width="7.140625" style="5" customWidth="1"/>
    <col min="12" max="12" width="3.85546875" style="5" customWidth="1"/>
    <col min="13" max="14" width="10" style="6" customWidth="1"/>
    <col min="15" max="15" width="9.140625" style="5"/>
    <col min="16" max="16" width="7" style="5" customWidth="1"/>
    <col min="17" max="17" width="6.85546875" style="5" bestFit="1" customWidth="1"/>
    <col min="18" max="18" width="7.42578125" style="5" bestFit="1" customWidth="1"/>
    <col min="19" max="19" width="6.5703125" style="5" bestFit="1" customWidth="1"/>
    <col min="20" max="20" width="16.28515625" style="5" bestFit="1" customWidth="1"/>
    <col min="21" max="21" width="9.140625" style="5" bestFit="1" customWidth="1"/>
    <col min="22" max="22" width="21.5703125" style="5" bestFit="1" customWidth="1"/>
    <col min="23" max="23" width="8.140625" style="5" bestFit="1" customWidth="1"/>
    <col min="24" max="24" width="6.5703125" style="5" bestFit="1" customWidth="1"/>
    <col min="25" max="25" width="3.85546875" style="5" customWidth="1"/>
    <col min="26" max="27" width="10" style="6" customWidth="1"/>
    <col min="28" max="16384" width="9.140625" style="5"/>
  </cols>
  <sheetData>
    <row r="1" spans="2:27" ht="60.75" customHeight="1" x14ac:dyDescent="0.9">
      <c r="D1" s="103" t="s">
        <v>37</v>
      </c>
      <c r="E1" s="103"/>
      <c r="F1" s="103"/>
      <c r="G1" s="103"/>
      <c r="H1" s="103"/>
      <c r="I1" s="103"/>
      <c r="J1" s="103"/>
      <c r="K1" s="103"/>
      <c r="Q1" s="103" t="s">
        <v>38</v>
      </c>
      <c r="R1" s="103"/>
      <c r="S1" s="103"/>
      <c r="T1" s="103"/>
      <c r="U1" s="103"/>
      <c r="V1" s="103"/>
      <c r="W1" s="103"/>
      <c r="X1" s="103"/>
    </row>
    <row r="2" spans="2:27" ht="16.5" thickBot="1" x14ac:dyDescent="0.3">
      <c r="B2" s="5" t="s">
        <v>19</v>
      </c>
      <c r="D2" s="38" t="str">
        <f t="shared" ref="D2" si="0">B2</f>
        <v>MinF</v>
      </c>
      <c r="E2" s="102" t="str">
        <f t="shared" ref="E2" si="1">"Places : "&amp;F8</f>
        <v>Places : 12</v>
      </c>
      <c r="F2" s="102"/>
      <c r="G2" s="102" t="str">
        <f t="shared" ref="G2" si="2">"Quotient de Hare : Q = ("&amp;E4&amp;" + "&amp;E5&amp;" + "&amp;E6&amp;" + "&amp;E7&amp;") / ("&amp;F8&amp;" - "&amp;SUM(F4:F7)&amp;") = "&amp;SUM(E4:E7)&amp;" / "&amp;(F8 - SUM(F4:F7))&amp;" = "&amp;ROUNDDOWN(SUM(E4:E7)/(F8-SUM(F4:F7)),2)</f>
        <v>Quotient de Hare : Q = (5 + 3 + 6 + 4) / (12 - 4) = 18 / 8 = 2,25</v>
      </c>
      <c r="H2" s="102"/>
      <c r="I2" s="102"/>
      <c r="J2" s="102"/>
      <c r="K2" s="102"/>
      <c r="L2" s="39"/>
      <c r="M2" s="7"/>
      <c r="N2" s="7"/>
      <c r="P2" s="5" t="s">
        <v>19</v>
      </c>
      <c r="Q2" s="38" t="str">
        <f>P2</f>
        <v>MinF</v>
      </c>
      <c r="R2" s="102" t="str">
        <f>"Places : "&amp;S8</f>
        <v>Places : 12</v>
      </c>
      <c r="S2" s="102"/>
      <c r="T2" s="102" t="str">
        <f>"Quotient de Hare : Q = ("&amp;R4&amp;" + "&amp;R5&amp;" + "&amp;R6&amp;" + "&amp;R7&amp;") / ("&amp;S8&amp;" - "&amp;SUM(S4:S7)&amp;") = "&amp;SUM(R4:R7)&amp;" / "&amp;(S8 - SUM(S4:S7))&amp;" = "&amp;ROUNDDOWN(SUM(R4:R7)/(S8-SUM(S4:S7)),2)</f>
        <v>Quotient de Hare : Q = (5 + 3 + 6 + 4) / (12 - 4) = 18 / 8 = 2,25</v>
      </c>
      <c r="U2" s="102"/>
      <c r="V2" s="102"/>
      <c r="W2" s="102"/>
      <c r="X2" s="102"/>
      <c r="Y2" s="39"/>
      <c r="Z2" s="7"/>
      <c r="AA2" s="7"/>
    </row>
    <row r="3" spans="2:27" ht="30.75" thickBot="1" x14ac:dyDescent="0.3">
      <c r="D3" s="40" t="s">
        <v>0</v>
      </c>
      <c r="E3" s="41" t="s">
        <v>26</v>
      </c>
      <c r="F3" s="42" t="s">
        <v>35</v>
      </c>
      <c r="G3" s="41" t="s">
        <v>2</v>
      </c>
      <c r="H3" s="42" t="s">
        <v>3</v>
      </c>
      <c r="I3" s="41" t="s">
        <v>1</v>
      </c>
      <c r="J3" s="42" t="s">
        <v>4</v>
      </c>
      <c r="K3" s="43" t="str">
        <f t="shared" ref="K3" si="3">"Places
("&amp;SUM(K4:K7)&amp;")"</f>
        <v>Places
(12)</v>
      </c>
      <c r="M3" s="19" t="s">
        <v>27</v>
      </c>
      <c r="N3" s="19" t="s">
        <v>1</v>
      </c>
      <c r="Q3" s="40" t="s">
        <v>0</v>
      </c>
      <c r="R3" s="41" t="s">
        <v>26</v>
      </c>
      <c r="S3" s="42" t="s">
        <v>35</v>
      </c>
      <c r="T3" s="41" t="s">
        <v>2</v>
      </c>
      <c r="U3" s="42" t="s">
        <v>3</v>
      </c>
      <c r="V3" s="41" t="s">
        <v>1</v>
      </c>
      <c r="W3" s="42" t="s">
        <v>4</v>
      </c>
      <c r="X3" s="43" t="str">
        <f>"Places
("&amp;SUM(X4:X7)&amp;")"</f>
        <v>Places
(12)</v>
      </c>
      <c r="Z3" s="19" t="s">
        <v>27</v>
      </c>
      <c r="AA3" s="19" t="s">
        <v>1</v>
      </c>
    </row>
    <row r="4" spans="2:27" x14ac:dyDescent="0.25">
      <c r="B4" s="5" t="str">
        <f>B2</f>
        <v>MinF</v>
      </c>
      <c r="D4" s="47">
        <v>22</v>
      </c>
      <c r="E4" s="63">
        <f>VLOOKUP(B4&amp;D4,'Calcul Effectifs Référence'!T:U,2,FALSE)</f>
        <v>5</v>
      </c>
      <c r="F4" s="60">
        <v>1</v>
      </c>
      <c r="G4" s="50" t="str">
        <f t="shared" ref="G4" si="4">E4&amp;" / "&amp;ROUNDDOWN(E8,2)&amp;" = "&amp;ROUND(E4/E8,2)</f>
        <v>5 / 2,25 = 2,22</v>
      </c>
      <c r="H4" s="56">
        <f t="shared" ref="H4:H7" si="5">ROUNDDOWN(M4,0)</f>
        <v>2</v>
      </c>
      <c r="I4" s="45" t="str">
        <f t="shared" ref="I4" si="6">E4&amp;" - ("&amp;H4&amp;" x "&amp;ROUNDDOWN(E8,2)&amp;") = "&amp;ROUNDDOWN(E4-H4*E8,2)</f>
        <v>5 - (2 x 2,25) = 0,5</v>
      </c>
      <c r="J4" s="53">
        <f t="shared" ref="J4" si="7">IF(RANK(N4,N4:N7)&lt;=J8,1,0)</f>
        <v>0</v>
      </c>
      <c r="K4" s="66">
        <f t="shared" ref="K4:K7" si="8">MAX(2,F4+H4+J4)</f>
        <v>3</v>
      </c>
      <c r="M4" s="20">
        <f>E4/E8</f>
        <v>2.2222222222222223</v>
      </c>
      <c r="N4" s="21">
        <f>E4-H4*E8</f>
        <v>0.5</v>
      </c>
      <c r="P4" s="5" t="str">
        <f>P2</f>
        <v>MinF</v>
      </c>
      <c r="Q4" s="47">
        <v>22</v>
      </c>
      <c r="R4" s="63">
        <f>E4</f>
        <v>5</v>
      </c>
      <c r="S4" s="60">
        <v>1</v>
      </c>
      <c r="T4" s="50" t="str">
        <f>R4&amp;" / "&amp;ROUNDDOWN(R8,2)&amp;" = "&amp;ROUND(R4/R8,2)</f>
        <v>5 / 2,25 = 2,22</v>
      </c>
      <c r="U4" s="56">
        <f>ROUNDDOWN(Z4,0)</f>
        <v>2</v>
      </c>
      <c r="V4" s="45" t="str">
        <f>R4&amp;" - ("&amp;U4&amp;" x "&amp;ROUNDDOWN(R8,2)&amp;") = "&amp;ROUNDDOWN(R4-U4*R8,2)</f>
        <v>5 - (2 x 2,25) = 0,5</v>
      </c>
      <c r="W4" s="53">
        <f>IF(RANK(AA4,AA4:AA7)&lt;=W8,1,0)</f>
        <v>0</v>
      </c>
      <c r="X4" s="66">
        <f>S4+U4+W4</f>
        <v>3</v>
      </c>
      <c r="Z4" s="20">
        <f>R4/R8</f>
        <v>2.2222222222222223</v>
      </c>
      <c r="AA4" s="21">
        <f>R4-U4*R8</f>
        <v>0.5</v>
      </c>
    </row>
    <row r="5" spans="2:27" x14ac:dyDescent="0.25">
      <c r="B5" s="5" t="str">
        <f>B2</f>
        <v>MinF</v>
      </c>
      <c r="D5" s="48">
        <v>29</v>
      </c>
      <c r="E5" s="64">
        <f>VLOOKUP(B5&amp;D5,'Calcul Effectifs Référence'!T:U,2,FALSE)</f>
        <v>3</v>
      </c>
      <c r="F5" s="61">
        <v>1</v>
      </c>
      <c r="G5" s="51" t="str">
        <f t="shared" ref="G5" si="9">E5&amp;" / "&amp;ROUNDDOWN(E8,2)&amp;" = "&amp;ROUND(E5/E8,2)</f>
        <v>3 / 2,25 = 1,33</v>
      </c>
      <c r="H5" s="57">
        <f t="shared" si="5"/>
        <v>1</v>
      </c>
      <c r="I5" s="44" t="str">
        <f t="shared" ref="I5" si="10">E5&amp;" - ("&amp;H5&amp;" x "&amp;ROUNDDOWN(E8,2)&amp;") = "&amp;ROUNDDOWN(E5-H5*E8,2)</f>
        <v>3 - (1 x 2,25) = 0,75</v>
      </c>
      <c r="J5" s="54">
        <f t="shared" ref="J5" si="11">IF(RANK(N5,N4:N7)&lt;=J8,1,0)</f>
        <v>0</v>
      </c>
      <c r="K5" s="64">
        <f t="shared" si="8"/>
        <v>2</v>
      </c>
      <c r="M5" s="20">
        <f>E5/E8</f>
        <v>1.3333333333333333</v>
      </c>
      <c r="N5" s="21">
        <f>E5-H5*E8</f>
        <v>0.75</v>
      </c>
      <c r="P5" s="5" t="str">
        <f>P2</f>
        <v>MinF</v>
      </c>
      <c r="Q5" s="48">
        <v>29</v>
      </c>
      <c r="R5" s="64">
        <f>E5</f>
        <v>3</v>
      </c>
      <c r="S5" s="61">
        <v>1</v>
      </c>
      <c r="T5" s="51" t="str">
        <f>R5&amp;" / "&amp;ROUNDDOWN(R8,2)&amp;" = "&amp;ROUND(R5/R8,2)</f>
        <v>3 / 2,25 = 1,33</v>
      </c>
      <c r="U5" s="57">
        <f>ROUNDDOWN(Z5,0)</f>
        <v>1</v>
      </c>
      <c r="V5" s="44" t="str">
        <f>R5&amp;" - ("&amp;U5&amp;" x "&amp;ROUNDDOWN(R8,2)&amp;") = "&amp;ROUNDDOWN(R5-U5*R8,2)</f>
        <v>3 - (1 x 2,25) = 0,75</v>
      </c>
      <c r="W5" s="54">
        <f>IF(RANK(AA5,AA4:AA7)&lt;=W8,1,0)</f>
        <v>0</v>
      </c>
      <c r="X5" s="64">
        <f>S5+U5+W5</f>
        <v>2</v>
      </c>
      <c r="Z5" s="20">
        <f>R5/R8</f>
        <v>1.3333333333333333</v>
      </c>
      <c r="AA5" s="21">
        <f>R5-U5*R8</f>
        <v>0.75</v>
      </c>
    </row>
    <row r="6" spans="2:27" x14ac:dyDescent="0.25">
      <c r="B6" s="5" t="str">
        <f>B2</f>
        <v>MinF</v>
      </c>
      <c r="D6" s="48">
        <v>35</v>
      </c>
      <c r="E6" s="64">
        <f>VLOOKUP(B6&amp;D6,'Calcul Effectifs Référence'!T:U,2,FALSE)</f>
        <v>6</v>
      </c>
      <c r="F6" s="61">
        <v>1</v>
      </c>
      <c r="G6" s="51" t="str">
        <f t="shared" ref="G6" si="12">E6&amp;" / "&amp;ROUNDDOWN(E8,2)&amp;" = "&amp;ROUND(E6/E8,2)</f>
        <v>6 / 2,25 = 2,67</v>
      </c>
      <c r="H6" s="57">
        <f t="shared" si="5"/>
        <v>2</v>
      </c>
      <c r="I6" s="44" t="str">
        <f t="shared" ref="I6" si="13">E6&amp;" - ("&amp;H6&amp;" x "&amp;ROUNDDOWN(E8,2)&amp;") = "&amp;ROUNDDOWN(E6-H6*E8,2)</f>
        <v>6 - (2 x 2,25) = 1,5</v>
      </c>
      <c r="J6" s="54">
        <f t="shared" ref="J6" si="14">IF(RANK(N6,N4:N7)&lt;=J8,1,0)</f>
        <v>1</v>
      </c>
      <c r="K6" s="64">
        <f t="shared" si="8"/>
        <v>4</v>
      </c>
      <c r="M6" s="20">
        <f>E6/E8</f>
        <v>2.6666666666666665</v>
      </c>
      <c r="N6" s="21">
        <f>E6-H6*E8</f>
        <v>1.5</v>
      </c>
      <c r="P6" s="5" t="str">
        <f>P2</f>
        <v>MinF</v>
      </c>
      <c r="Q6" s="48">
        <v>35</v>
      </c>
      <c r="R6" s="64">
        <f>E6</f>
        <v>6</v>
      </c>
      <c r="S6" s="61">
        <v>1</v>
      </c>
      <c r="T6" s="51" t="str">
        <f>R6&amp;" / "&amp;ROUNDDOWN(R8,2)&amp;" = "&amp;ROUND(R6/R8,2)</f>
        <v>6 / 2,25 = 2,67</v>
      </c>
      <c r="U6" s="57">
        <f>ROUNDDOWN(Z6,0)</f>
        <v>2</v>
      </c>
      <c r="V6" s="44" t="str">
        <f>R6&amp;" - ("&amp;U6&amp;" x "&amp;ROUNDDOWN(R8,2)&amp;") = "&amp;ROUNDDOWN(R6-U6*R8,2)</f>
        <v>6 - (2 x 2,25) = 1,5</v>
      </c>
      <c r="W6" s="54">
        <f>IF(RANK(AA6,AA4:AA7)&lt;=W8,1,0)</f>
        <v>1</v>
      </c>
      <c r="X6" s="64">
        <f>S6+U6+W6</f>
        <v>4</v>
      </c>
      <c r="Z6" s="20">
        <f>R6/R8</f>
        <v>2.6666666666666665</v>
      </c>
      <c r="AA6" s="21">
        <f>R6-U6*R8</f>
        <v>1.5</v>
      </c>
    </row>
    <row r="7" spans="2:27" ht="15.75" thickBot="1" x14ac:dyDescent="0.3">
      <c r="B7" s="5" t="str">
        <f>B2</f>
        <v>MinF</v>
      </c>
      <c r="D7" s="49">
        <v>56</v>
      </c>
      <c r="E7" s="65">
        <f>VLOOKUP(B7&amp;D7,'Calcul Effectifs Référence'!T:U,2,FALSE)</f>
        <v>4</v>
      </c>
      <c r="F7" s="62">
        <v>1</v>
      </c>
      <c r="G7" s="52" t="str">
        <f t="shared" ref="G7" si="15">E7&amp;" / "&amp;ROUNDDOWN(E8,2)&amp;" = "&amp;ROUND(E7/E8,2)</f>
        <v>4 / 2,25 = 1,78</v>
      </c>
      <c r="H7" s="58">
        <f t="shared" si="5"/>
        <v>1</v>
      </c>
      <c r="I7" s="46" t="str">
        <f t="shared" ref="I7" si="16">E7&amp;" - ("&amp;H7&amp;" x "&amp;ROUNDDOWN(E8,2)&amp;") = "&amp;ROUNDDOWN(E7-H7*E8,2)</f>
        <v>4 - (1 x 2,25) = 1,75</v>
      </c>
      <c r="J7" s="55">
        <f t="shared" ref="J7" si="17">IF(RANK(N7,N4:N7)&lt;=J8,1,0)</f>
        <v>1</v>
      </c>
      <c r="K7" s="65">
        <f t="shared" si="8"/>
        <v>3</v>
      </c>
      <c r="M7" s="20">
        <f>E7/E8</f>
        <v>1.7777777777777777</v>
      </c>
      <c r="N7" s="21">
        <f>E7-H7*E8</f>
        <v>1.75</v>
      </c>
      <c r="P7" s="5" t="str">
        <f>P2</f>
        <v>MinF</v>
      </c>
      <c r="Q7" s="49">
        <v>56</v>
      </c>
      <c r="R7" s="65">
        <f>E7</f>
        <v>4</v>
      </c>
      <c r="S7" s="62">
        <v>1</v>
      </c>
      <c r="T7" s="52" t="str">
        <f>R7&amp;" / "&amp;ROUNDDOWN(R8,2)&amp;" = "&amp;ROUND(R7/R8,2)</f>
        <v>4 / 2,25 = 1,78</v>
      </c>
      <c r="U7" s="58">
        <f>ROUNDDOWN(Z7,0)</f>
        <v>1</v>
      </c>
      <c r="V7" s="46" t="str">
        <f>R7&amp;" - ("&amp;U7&amp;" x "&amp;ROUNDDOWN(R8,2)&amp;") = "&amp;ROUNDDOWN(R7-U7*R8,2)</f>
        <v>4 - (1 x 2,25) = 1,75</v>
      </c>
      <c r="W7" s="55">
        <f>IF(RANK(AA7,AA4:AA7)&lt;=W8,1,0)</f>
        <v>1</v>
      </c>
      <c r="X7" s="65">
        <f>S7+U7+W7</f>
        <v>3</v>
      </c>
      <c r="Z7" s="20">
        <f>R7/R8</f>
        <v>1.7777777777777777</v>
      </c>
      <c r="AA7" s="21">
        <f>R7-U7*R8</f>
        <v>1.75</v>
      </c>
    </row>
    <row r="8" spans="2:27" x14ac:dyDescent="0.25">
      <c r="B8" s="5" t="str">
        <f>B2</f>
        <v>MinF</v>
      </c>
      <c r="D8" s="3"/>
      <c r="E8" s="2">
        <f t="shared" ref="E8" si="18">SUM(E4:E7)/(F8-SUM(F4:F7))</f>
        <v>2.25</v>
      </c>
      <c r="F8" s="1">
        <f>VLOOKUP(D2,'Calcul Places disponibles'!$D$8:$L$17,9,FALSE)</f>
        <v>12</v>
      </c>
      <c r="G8" s="2"/>
      <c r="H8" s="1">
        <f t="shared" ref="H8" si="19">SUM(H4:H7)</f>
        <v>6</v>
      </c>
      <c r="I8" s="2"/>
      <c r="J8" s="1">
        <f t="shared" ref="J8" si="20">F8-SUM(F4:F7)-H8</f>
        <v>2</v>
      </c>
      <c r="K8" s="1"/>
      <c r="Q8" s="3"/>
      <c r="R8" s="2">
        <f>SUM(R4:R7)/(S8-SUM(S4:S7))</f>
        <v>2.25</v>
      </c>
      <c r="S8" s="1">
        <f>VLOOKUP(Q2,'Calcul Places disponibles'!$D$8:$L$17,9,FALSE)</f>
        <v>12</v>
      </c>
      <c r="T8" s="2"/>
      <c r="U8" s="1">
        <f>SUM(U4:U7)</f>
        <v>6</v>
      </c>
      <c r="V8" s="2"/>
      <c r="W8" s="1">
        <f>S8-SUM(S4:S7)-U8</f>
        <v>2</v>
      </c>
      <c r="X8" s="1"/>
    </row>
    <row r="9" spans="2:27" ht="16.5" thickBot="1" x14ac:dyDescent="0.3">
      <c r="B9" s="5" t="s">
        <v>20</v>
      </c>
      <c r="D9" s="38" t="str">
        <f t="shared" ref="D9:D71" si="21">B9</f>
        <v>BenF</v>
      </c>
      <c r="E9" s="102" t="str">
        <f t="shared" ref="E9:E71" si="22">"Places : "&amp;F15</f>
        <v>Places : 11</v>
      </c>
      <c r="F9" s="102"/>
      <c r="G9" s="102" t="str">
        <f t="shared" ref="G9" si="23">"Quotient de Hare : Q = ("&amp;E11&amp;" + "&amp;E12&amp;" + "&amp;E13&amp;" + "&amp;E14&amp;") / ("&amp;F15&amp;" - "&amp;SUM(F11:F14)&amp;") = "&amp;SUM(E11:E14)&amp;" / "&amp;(F15 - SUM(F11:F14))&amp;" = "&amp;ROUNDDOWN(SUM(E11:E14)/(F15-SUM(F11:F14)),2)</f>
        <v>Quotient de Hare : Q = (6 + 4 + 12 + 6) / (11 - 4) = 28 / 7 = 4</v>
      </c>
      <c r="H9" s="102"/>
      <c r="I9" s="102"/>
      <c r="J9" s="102"/>
      <c r="K9" s="102"/>
      <c r="L9" s="39"/>
      <c r="M9" s="7"/>
      <c r="N9" s="7"/>
      <c r="P9" s="5" t="s">
        <v>20</v>
      </c>
      <c r="Q9" s="38" t="str">
        <f t="shared" ref="Q9" si="24">P9</f>
        <v>BenF</v>
      </c>
      <c r="R9" s="102" t="str">
        <f t="shared" ref="R9" si="25">"Places : "&amp;S15</f>
        <v>Places : 11</v>
      </c>
      <c r="S9" s="102"/>
      <c r="T9" s="102" t="str">
        <f t="shared" ref="T9" si="26">"Quotient de Hare : Q = ("&amp;R11&amp;" + "&amp;R12&amp;" + "&amp;R13&amp;" + "&amp;R14&amp;") / ("&amp;S15&amp;" - "&amp;SUM(S11:S14)&amp;") = "&amp;SUM(R11:R14)&amp;" / "&amp;(S15 - SUM(S11:S14))&amp;" = "&amp;ROUNDDOWN(SUM(R11:R14)/(S15-SUM(S11:S14)),2)</f>
        <v>Quotient de Hare : Q = (6 + 4 + 12 + 6) / (11 - 4) = 28 / 7 = 4</v>
      </c>
      <c r="U9" s="102"/>
      <c r="V9" s="102"/>
      <c r="W9" s="102"/>
      <c r="X9" s="102"/>
      <c r="Y9" s="39"/>
      <c r="Z9" s="7"/>
      <c r="AA9" s="7"/>
    </row>
    <row r="10" spans="2:27" ht="30.75" thickBot="1" x14ac:dyDescent="0.3">
      <c r="D10" s="40" t="s">
        <v>0</v>
      </c>
      <c r="E10" s="41" t="s">
        <v>26</v>
      </c>
      <c r="F10" s="42" t="s">
        <v>35</v>
      </c>
      <c r="G10" s="41" t="s">
        <v>2</v>
      </c>
      <c r="H10" s="42" t="s">
        <v>3</v>
      </c>
      <c r="I10" s="41" t="s">
        <v>1</v>
      </c>
      <c r="J10" s="42" t="s">
        <v>4</v>
      </c>
      <c r="K10" s="43" t="str">
        <f t="shared" ref="K10:K66" si="27">"Places
("&amp;SUM(K11:K14)&amp;")"</f>
        <v>Places
(12)</v>
      </c>
      <c r="M10" s="19" t="s">
        <v>27</v>
      </c>
      <c r="N10" s="19" t="s">
        <v>1</v>
      </c>
      <c r="Q10" s="40" t="s">
        <v>0</v>
      </c>
      <c r="R10" s="41" t="s">
        <v>26</v>
      </c>
      <c r="S10" s="42" t="s">
        <v>35</v>
      </c>
      <c r="T10" s="41" t="s">
        <v>2</v>
      </c>
      <c r="U10" s="42" t="s">
        <v>3</v>
      </c>
      <c r="V10" s="41" t="s">
        <v>1</v>
      </c>
      <c r="W10" s="42" t="s">
        <v>4</v>
      </c>
      <c r="X10" s="43" t="str">
        <f t="shared" ref="X10" si="28">"Places
("&amp;SUM(X11:X14)&amp;")"</f>
        <v>Places
(12)</v>
      </c>
      <c r="Z10" s="19" t="s">
        <v>27</v>
      </c>
      <c r="AA10" s="19" t="s">
        <v>1</v>
      </c>
    </row>
    <row r="11" spans="2:27" x14ac:dyDescent="0.25">
      <c r="B11" s="5" t="str">
        <f>B9</f>
        <v>BenF</v>
      </c>
      <c r="D11" s="47">
        <v>22</v>
      </c>
      <c r="E11" s="63">
        <f>VLOOKUP(B11&amp;D11,'Calcul Effectifs Référence'!T:U,2,FALSE)</f>
        <v>6</v>
      </c>
      <c r="F11" s="60">
        <v>1</v>
      </c>
      <c r="G11" s="50" t="str">
        <f t="shared" ref="G11:G71" si="29">E11&amp;" / "&amp;ROUNDDOWN(E15,2)&amp;" = "&amp;ROUND(E11/E15,2)</f>
        <v>6 / 4 = 1,5</v>
      </c>
      <c r="H11" s="56">
        <f t="shared" ref="H11:H71" si="30">ROUNDDOWN(M11,0)</f>
        <v>1</v>
      </c>
      <c r="I11" s="45" t="str">
        <f t="shared" ref="I11:I71" si="31">E11&amp;" - ("&amp;H11&amp;" x "&amp;ROUNDDOWN(E15,2)&amp;") = "&amp;ROUNDDOWN(E11-H11*E15,2)</f>
        <v>6 - (1 x 4) = 2</v>
      </c>
      <c r="J11" s="53">
        <f t="shared" ref="J11" si="32">IF(RANK(N11,N11:N14)&lt;=J15,1,0)</f>
        <v>1</v>
      </c>
      <c r="K11" s="66">
        <f t="shared" ref="K11:K71" si="33">MAX(2,F11+H11+J11)</f>
        <v>3</v>
      </c>
      <c r="M11" s="20">
        <f>E11/E15</f>
        <v>1.5</v>
      </c>
      <c r="N11" s="21">
        <f>E11-H11*E15</f>
        <v>2</v>
      </c>
      <c r="P11" s="5" t="str">
        <f>P9</f>
        <v>BenF</v>
      </c>
      <c r="Q11" s="47">
        <v>22</v>
      </c>
      <c r="R11" s="63">
        <f t="shared" ref="R11:R42" si="34">E11</f>
        <v>6</v>
      </c>
      <c r="S11" s="60">
        <v>1</v>
      </c>
      <c r="T11" s="50" t="str">
        <f t="shared" ref="T11" si="35">R11&amp;" / "&amp;ROUNDDOWN(R15,2)&amp;" = "&amp;ROUND(R11/R15,2)</f>
        <v>6 / 4 = 1,5</v>
      </c>
      <c r="U11" s="56">
        <f t="shared" ref="U11:U42" si="36">ROUNDDOWN(Z11,0)</f>
        <v>1</v>
      </c>
      <c r="V11" s="45" t="str">
        <f t="shared" ref="V11" si="37">R11&amp;" - ("&amp;U11&amp;" x "&amp;ROUNDDOWN(R15,2)&amp;") = "&amp;ROUNDDOWN(R11-U11*R15,2)</f>
        <v>6 - (1 x 4) = 2</v>
      </c>
      <c r="W11" s="53">
        <f t="shared" ref="W11" si="38">IF(RANK(AA11,AA11:AA14)&lt;=W15,1,0)</f>
        <v>1</v>
      </c>
      <c r="X11" s="66">
        <f t="shared" ref="X11:X14" si="39">S11+U11+W11</f>
        <v>3</v>
      </c>
      <c r="Z11" s="20">
        <f>R11/R15</f>
        <v>1.5</v>
      </c>
      <c r="AA11" s="21">
        <f>R11-U11*R15</f>
        <v>2</v>
      </c>
    </row>
    <row r="12" spans="2:27" x14ac:dyDescent="0.25">
      <c r="B12" s="5" t="str">
        <f>B9</f>
        <v>BenF</v>
      </c>
      <c r="D12" s="48">
        <v>29</v>
      </c>
      <c r="E12" s="64">
        <f>VLOOKUP(B12&amp;D12,'Calcul Effectifs Référence'!T:U,2,FALSE)</f>
        <v>4</v>
      </c>
      <c r="F12" s="61">
        <v>1</v>
      </c>
      <c r="G12" s="51" t="str">
        <f t="shared" ref="G12:G71" si="40">E12&amp;" / "&amp;ROUNDDOWN(E15,2)&amp;" = "&amp;ROUND(E12/E15,2)</f>
        <v>4 / 4 = 1</v>
      </c>
      <c r="H12" s="57">
        <f t="shared" si="30"/>
        <v>1</v>
      </c>
      <c r="I12" s="44" t="str">
        <f t="shared" ref="I12:I71" si="41">E12&amp;" - ("&amp;H12&amp;" x "&amp;ROUNDDOWN(E15,2)&amp;") = "&amp;ROUNDDOWN(E12-H12*E15,2)</f>
        <v>4 - (1 x 4) = 0</v>
      </c>
      <c r="J12" s="54">
        <f t="shared" ref="J12" si="42">IF(RANK(N12,N11:N14)&lt;=J15,1,0)</f>
        <v>0</v>
      </c>
      <c r="K12" s="64">
        <f t="shared" si="33"/>
        <v>2</v>
      </c>
      <c r="M12" s="20">
        <f>E12/E15</f>
        <v>1</v>
      </c>
      <c r="N12" s="21">
        <f>E12-H12*E15</f>
        <v>0</v>
      </c>
      <c r="P12" s="5" t="str">
        <f>P9</f>
        <v>BenF</v>
      </c>
      <c r="Q12" s="48">
        <v>29</v>
      </c>
      <c r="R12" s="64">
        <f t="shared" si="34"/>
        <v>4</v>
      </c>
      <c r="S12" s="61">
        <v>1</v>
      </c>
      <c r="T12" s="51" t="str">
        <f t="shared" ref="T12" si="43">R12&amp;" / "&amp;ROUNDDOWN(R15,2)&amp;" = "&amp;ROUND(R12/R15,2)</f>
        <v>4 / 4 = 1</v>
      </c>
      <c r="U12" s="57">
        <f t="shared" si="36"/>
        <v>1</v>
      </c>
      <c r="V12" s="44" t="str">
        <f t="shared" ref="V12" si="44">R12&amp;" - ("&amp;U12&amp;" x "&amp;ROUNDDOWN(R15,2)&amp;") = "&amp;ROUNDDOWN(R12-U12*R15,2)</f>
        <v>4 - (1 x 4) = 0</v>
      </c>
      <c r="W12" s="54">
        <f t="shared" ref="W12" si="45">IF(RANK(AA12,AA11:AA14)&lt;=W15,1,0)</f>
        <v>0</v>
      </c>
      <c r="X12" s="64">
        <f t="shared" si="39"/>
        <v>2</v>
      </c>
      <c r="Z12" s="20">
        <f>R12/R15</f>
        <v>1</v>
      </c>
      <c r="AA12" s="21">
        <f>R12-U12*R15</f>
        <v>0</v>
      </c>
    </row>
    <row r="13" spans="2:27" x14ac:dyDescent="0.25">
      <c r="B13" s="5" t="str">
        <f>B9</f>
        <v>BenF</v>
      </c>
      <c r="D13" s="48">
        <v>35</v>
      </c>
      <c r="E13" s="64">
        <f>VLOOKUP(B13&amp;D13,'Calcul Effectifs Référence'!T:U,2,FALSE)</f>
        <v>12</v>
      </c>
      <c r="F13" s="61">
        <v>1</v>
      </c>
      <c r="G13" s="51" t="str">
        <f t="shared" ref="G13:G71" si="46">E13&amp;" / "&amp;ROUNDDOWN(E15,2)&amp;" = "&amp;ROUND(E13/E15,2)</f>
        <v>12 / 4 = 3</v>
      </c>
      <c r="H13" s="57">
        <f t="shared" si="30"/>
        <v>3</v>
      </c>
      <c r="I13" s="44" t="str">
        <f t="shared" ref="I13:I71" si="47">E13&amp;" - ("&amp;H13&amp;" x "&amp;ROUNDDOWN(E15,2)&amp;") = "&amp;ROUNDDOWN(E13-H13*E15,2)</f>
        <v>12 - (3 x 4) = 0</v>
      </c>
      <c r="J13" s="54">
        <f t="shared" ref="J13" si="48">IF(RANK(N13,N11:N14)&lt;=J15,1,0)</f>
        <v>0</v>
      </c>
      <c r="K13" s="64">
        <f t="shared" si="33"/>
        <v>4</v>
      </c>
      <c r="M13" s="20">
        <f>E13/E15</f>
        <v>3</v>
      </c>
      <c r="N13" s="21">
        <f>E13-H13*E15</f>
        <v>0</v>
      </c>
      <c r="P13" s="5" t="str">
        <f>P9</f>
        <v>BenF</v>
      </c>
      <c r="Q13" s="48">
        <v>35</v>
      </c>
      <c r="R13" s="64">
        <f t="shared" si="34"/>
        <v>12</v>
      </c>
      <c r="S13" s="61">
        <v>1</v>
      </c>
      <c r="T13" s="51" t="str">
        <f t="shared" ref="T13" si="49">R13&amp;" / "&amp;ROUNDDOWN(R15,2)&amp;" = "&amp;ROUND(R13/R15,2)</f>
        <v>12 / 4 = 3</v>
      </c>
      <c r="U13" s="57">
        <f t="shared" si="36"/>
        <v>3</v>
      </c>
      <c r="V13" s="44" t="str">
        <f t="shared" ref="V13" si="50">R13&amp;" - ("&amp;U13&amp;" x "&amp;ROUNDDOWN(R15,2)&amp;") = "&amp;ROUNDDOWN(R13-U13*R15,2)</f>
        <v>12 - (3 x 4) = 0</v>
      </c>
      <c r="W13" s="54">
        <f t="shared" ref="W13" si="51">IF(RANK(AA13,AA11:AA14)&lt;=W15,1,0)</f>
        <v>0</v>
      </c>
      <c r="X13" s="64">
        <f t="shared" si="39"/>
        <v>4</v>
      </c>
      <c r="Z13" s="20">
        <f>R13/R15</f>
        <v>3</v>
      </c>
      <c r="AA13" s="21">
        <f>R13-U13*R15</f>
        <v>0</v>
      </c>
    </row>
    <row r="14" spans="2:27" ht="15.75" thickBot="1" x14ac:dyDescent="0.3">
      <c r="B14" s="5" t="str">
        <f>B9</f>
        <v>BenF</v>
      </c>
      <c r="D14" s="49">
        <v>56</v>
      </c>
      <c r="E14" s="65">
        <f>VLOOKUP(B14&amp;D14,'Calcul Effectifs Référence'!T:U,2,FALSE)</f>
        <v>6</v>
      </c>
      <c r="F14" s="62">
        <v>1</v>
      </c>
      <c r="G14" s="52" t="str">
        <f t="shared" ref="G14:G71" si="52">E14&amp;" / "&amp;ROUNDDOWN(E15,2)&amp;" = "&amp;ROUND(E14/E15,2)</f>
        <v>6 / 4 = 1,5</v>
      </c>
      <c r="H14" s="58">
        <f t="shared" si="30"/>
        <v>1</v>
      </c>
      <c r="I14" s="46" t="str">
        <f t="shared" ref="I14:I71" si="53">E14&amp;" - ("&amp;H14&amp;" x "&amp;ROUNDDOWN(E15,2)&amp;") = "&amp;ROUNDDOWN(E14-H14*E15,2)</f>
        <v>6 - (1 x 4) = 2</v>
      </c>
      <c r="J14" s="55">
        <f t="shared" ref="J14:J71" si="54">IF(RANK(N14,N11:N14)&lt;=J15,1,0)</f>
        <v>1</v>
      </c>
      <c r="K14" s="65">
        <f t="shared" si="33"/>
        <v>3</v>
      </c>
      <c r="M14" s="20">
        <f>E14/E15</f>
        <v>1.5</v>
      </c>
      <c r="N14" s="21">
        <f>E14-H14*E15</f>
        <v>2</v>
      </c>
      <c r="P14" s="5" t="str">
        <f>P9</f>
        <v>BenF</v>
      </c>
      <c r="Q14" s="49">
        <v>56</v>
      </c>
      <c r="R14" s="65">
        <f t="shared" si="34"/>
        <v>6</v>
      </c>
      <c r="S14" s="62">
        <v>1</v>
      </c>
      <c r="T14" s="52" t="str">
        <f t="shared" ref="T14:T45" si="55">R14&amp;" / "&amp;ROUNDDOWN(R15,2)&amp;" = "&amp;ROUND(R14/R15,2)</f>
        <v>6 / 4 = 1,5</v>
      </c>
      <c r="U14" s="58">
        <f t="shared" si="36"/>
        <v>1</v>
      </c>
      <c r="V14" s="46" t="str">
        <f t="shared" ref="V14" si="56">R14&amp;" - ("&amp;U14&amp;" x "&amp;ROUNDDOWN(R15,2)&amp;") = "&amp;ROUNDDOWN(R14-U14*R15,2)</f>
        <v>6 - (1 x 4) = 2</v>
      </c>
      <c r="W14" s="55">
        <f t="shared" ref="W14" si="57">IF(RANK(AA14,AA11:AA14)&lt;=W15,1,0)</f>
        <v>1</v>
      </c>
      <c r="X14" s="65">
        <f t="shared" si="39"/>
        <v>3</v>
      </c>
      <c r="Z14" s="20">
        <f>R14/R15</f>
        <v>1.5</v>
      </c>
      <c r="AA14" s="21">
        <f>R14-U14*R15</f>
        <v>2</v>
      </c>
    </row>
    <row r="15" spans="2:27" s="81" customFormat="1" x14ac:dyDescent="0.25">
      <c r="B15" s="5" t="str">
        <f>B9</f>
        <v>BenF</v>
      </c>
      <c r="D15" s="3"/>
      <c r="E15" s="2">
        <f t="shared" ref="E15" si="58">SUM(E11:E14)/(F15-SUM(F11:F14))</f>
        <v>4</v>
      </c>
      <c r="F15" s="1">
        <f>VLOOKUP(D9,'Calcul Places disponibles'!$D$8:$L$17,9,FALSE)</f>
        <v>11</v>
      </c>
      <c r="G15" s="2"/>
      <c r="H15" s="1">
        <f t="shared" ref="H15:H71" si="59">SUM(H11:H14)</f>
        <v>6</v>
      </c>
      <c r="I15" s="2"/>
      <c r="J15" s="1">
        <f t="shared" ref="J15" si="60">F15-SUM(F11:F14)-H15</f>
        <v>1</v>
      </c>
      <c r="K15" s="1"/>
      <c r="M15" s="82"/>
      <c r="N15" s="82"/>
      <c r="Q15" s="3"/>
      <c r="R15" s="2">
        <f t="shared" ref="R15" si="61">SUM(R11:R14)/(S15-SUM(S11:S14))</f>
        <v>4</v>
      </c>
      <c r="S15" s="1">
        <f>VLOOKUP(Q9,'Calcul Places disponibles'!$D$8:$L$17,9,FALSE)</f>
        <v>11</v>
      </c>
      <c r="T15" s="2"/>
      <c r="U15" s="1">
        <f t="shared" ref="U15" si="62">SUM(U11:U14)</f>
        <v>6</v>
      </c>
      <c r="V15" s="2"/>
      <c r="W15" s="1">
        <f t="shared" ref="W15" si="63">S15-SUM(S11:S14)-U15</f>
        <v>1</v>
      </c>
      <c r="X15" s="1"/>
      <c r="Z15" s="82"/>
      <c r="AA15" s="82"/>
    </row>
    <row r="16" spans="2:27" ht="16.5" thickBot="1" x14ac:dyDescent="0.3">
      <c r="B16" s="5" t="s">
        <v>21</v>
      </c>
      <c r="D16" s="38" t="str">
        <f t="shared" ref="D16:D71" si="64">B16</f>
        <v>PupF</v>
      </c>
      <c r="E16" s="102" t="str">
        <f t="shared" ref="E16:E71" si="65">"Places : "&amp;F22</f>
        <v>Places : 10</v>
      </c>
      <c r="F16" s="102"/>
      <c r="G16" s="102" t="str">
        <f t="shared" ref="G16" si="66">"Quotient de Hare : Q = ("&amp;E18&amp;" + "&amp;E19&amp;" + "&amp;E20&amp;" + "&amp;E21&amp;") / ("&amp;F22&amp;" - "&amp;SUM(F18:F21)&amp;") = "&amp;SUM(E18:E21)&amp;" / "&amp;(F22 - SUM(F18:F21))&amp;" = "&amp;ROUNDDOWN(SUM(E18:E21)/(F22-SUM(F18:F21)),2)</f>
        <v>Quotient de Hare : Q = (2 + 5 + 14 + 6) / (10 - 4) = 27 / 6 = 4,5</v>
      </c>
      <c r="H16" s="102"/>
      <c r="I16" s="102"/>
      <c r="J16" s="102"/>
      <c r="K16" s="102"/>
      <c r="L16" s="39"/>
      <c r="M16" s="7"/>
      <c r="N16" s="7"/>
      <c r="P16" s="5" t="s">
        <v>21</v>
      </c>
      <c r="Q16" s="38" t="str">
        <f t="shared" ref="Q16" si="67">P16</f>
        <v>PupF</v>
      </c>
      <c r="R16" s="102" t="str">
        <f t="shared" ref="R16" si="68">"Places : "&amp;S22</f>
        <v>Places : 10</v>
      </c>
      <c r="S16" s="102"/>
      <c r="T16" s="102" t="str">
        <f t="shared" ref="T16" si="69">"Quotient de Hare : Q = ("&amp;R18&amp;" + "&amp;R19&amp;" + "&amp;R20&amp;" + "&amp;R21&amp;") / ("&amp;S22&amp;" - "&amp;SUM(S18:S21)&amp;") = "&amp;SUM(R18:R21)&amp;" / "&amp;(S22 - SUM(S18:S21))&amp;" = "&amp;ROUNDDOWN(SUM(R18:R21)/(S22-SUM(S18:S21)),2)</f>
        <v>Quotient de Hare : Q = (2 + 5 + 14 + 6) / (10 - 4) = 27 / 6 = 4,5</v>
      </c>
      <c r="U16" s="102"/>
      <c r="V16" s="102"/>
      <c r="W16" s="102"/>
      <c r="X16" s="102"/>
      <c r="Y16" s="39"/>
      <c r="Z16" s="7"/>
      <c r="AA16" s="7"/>
    </row>
    <row r="17" spans="2:27" ht="30.75" thickBot="1" x14ac:dyDescent="0.3">
      <c r="D17" s="40" t="s">
        <v>0</v>
      </c>
      <c r="E17" s="41" t="s">
        <v>26</v>
      </c>
      <c r="F17" s="42" t="s">
        <v>35</v>
      </c>
      <c r="G17" s="41" t="s">
        <v>2</v>
      </c>
      <c r="H17" s="42" t="s">
        <v>3</v>
      </c>
      <c r="I17" s="41" t="s">
        <v>1</v>
      </c>
      <c r="J17" s="42" t="s">
        <v>4</v>
      </c>
      <c r="K17" s="43" t="str">
        <f t="shared" si="27"/>
        <v>Places
(10)</v>
      </c>
      <c r="M17" s="19" t="s">
        <v>27</v>
      </c>
      <c r="N17" s="19" t="s">
        <v>1</v>
      </c>
      <c r="Q17" s="40" t="s">
        <v>0</v>
      </c>
      <c r="R17" s="41" t="s">
        <v>26</v>
      </c>
      <c r="S17" s="42" t="s">
        <v>35</v>
      </c>
      <c r="T17" s="41" t="s">
        <v>2</v>
      </c>
      <c r="U17" s="42" t="s">
        <v>3</v>
      </c>
      <c r="V17" s="41" t="s">
        <v>1</v>
      </c>
      <c r="W17" s="42" t="s">
        <v>4</v>
      </c>
      <c r="X17" s="43" t="str">
        <f t="shared" ref="X17" si="70">"Places
("&amp;SUM(X18:X21)&amp;")"</f>
        <v>Places
(10)</v>
      </c>
      <c r="Z17" s="19" t="s">
        <v>27</v>
      </c>
      <c r="AA17" s="19" t="s">
        <v>1</v>
      </c>
    </row>
    <row r="18" spans="2:27" x14ac:dyDescent="0.25">
      <c r="B18" s="5" t="str">
        <f>B16</f>
        <v>PupF</v>
      </c>
      <c r="D18" s="47">
        <v>22</v>
      </c>
      <c r="E18" s="63">
        <f>VLOOKUP(B18&amp;D18,'Calcul Effectifs Référence'!T:U,2,FALSE)</f>
        <v>2</v>
      </c>
      <c r="F18" s="60">
        <v>1</v>
      </c>
      <c r="G18" s="50" t="str">
        <f t="shared" ref="G18:G71" si="71">E18&amp;" / "&amp;ROUNDDOWN(E22,2)&amp;" = "&amp;ROUND(E18/E22,2)</f>
        <v>2 / 4,5 = 0,44</v>
      </c>
      <c r="H18" s="56">
        <f t="shared" ref="H18:H71" si="72">ROUNDDOWN(M18,0)</f>
        <v>0</v>
      </c>
      <c r="I18" s="45" t="str">
        <f t="shared" ref="I18:I71" si="73">E18&amp;" - ("&amp;H18&amp;" x "&amp;ROUNDDOWN(E22,2)&amp;") = "&amp;ROUNDDOWN(E18-H18*E22,2)</f>
        <v>2 - (0 x 4,5) = 2</v>
      </c>
      <c r="J18" s="53">
        <f t="shared" ref="J18" si="74">IF(RANK(N18,N18:N21)&lt;=J22,1,0)</f>
        <v>1</v>
      </c>
      <c r="K18" s="66">
        <f t="shared" ref="K18:K71" si="75">MAX(2,F18+H18+J18)</f>
        <v>2</v>
      </c>
      <c r="M18" s="20">
        <f>E18/E22</f>
        <v>0.44444444444444442</v>
      </c>
      <c r="N18" s="21">
        <f>E18-H18*E22</f>
        <v>2</v>
      </c>
      <c r="P18" s="5" t="str">
        <f>P16</f>
        <v>PupF</v>
      </c>
      <c r="Q18" s="47">
        <v>22</v>
      </c>
      <c r="R18" s="63">
        <f t="shared" ref="R18:R49" si="76">E18</f>
        <v>2</v>
      </c>
      <c r="S18" s="60">
        <v>1</v>
      </c>
      <c r="T18" s="50" t="str">
        <f t="shared" ref="T18" si="77">R18&amp;" / "&amp;ROUNDDOWN(R22,2)&amp;" = "&amp;ROUND(R18/R22,2)</f>
        <v>2 / 4,5 = 0,44</v>
      </c>
      <c r="U18" s="56">
        <f t="shared" ref="U18:U49" si="78">ROUNDDOWN(Z18,0)</f>
        <v>0</v>
      </c>
      <c r="V18" s="45" t="str">
        <f t="shared" ref="V18" si="79">R18&amp;" - ("&amp;U18&amp;" x "&amp;ROUNDDOWN(R22,2)&amp;") = "&amp;ROUNDDOWN(R18-U18*R22,2)</f>
        <v>2 - (0 x 4,5) = 2</v>
      </c>
      <c r="W18" s="53">
        <f t="shared" ref="W18" si="80">IF(RANK(AA18,AA18:AA21)&lt;=W22,1,0)</f>
        <v>1</v>
      </c>
      <c r="X18" s="66">
        <f t="shared" ref="X18:X21" si="81">S18+U18+W18</f>
        <v>2</v>
      </c>
      <c r="Z18" s="20">
        <f>R18/R22</f>
        <v>0.44444444444444442</v>
      </c>
      <c r="AA18" s="21">
        <f>R18-U18*R22</f>
        <v>2</v>
      </c>
    </row>
    <row r="19" spans="2:27" x14ac:dyDescent="0.25">
      <c r="B19" s="5" t="str">
        <f>B16</f>
        <v>PupF</v>
      </c>
      <c r="D19" s="48">
        <v>29</v>
      </c>
      <c r="E19" s="64">
        <f>VLOOKUP(B19&amp;D19,'Calcul Effectifs Référence'!T:U,2,FALSE)</f>
        <v>5</v>
      </c>
      <c r="F19" s="61">
        <v>1</v>
      </c>
      <c r="G19" s="51" t="str">
        <f t="shared" ref="G19:G71" si="82">E19&amp;" / "&amp;ROUNDDOWN(E22,2)&amp;" = "&amp;ROUND(E19/E22,2)</f>
        <v>5 / 4,5 = 1,11</v>
      </c>
      <c r="H19" s="57">
        <f t="shared" si="72"/>
        <v>1</v>
      </c>
      <c r="I19" s="44" t="str">
        <f t="shared" ref="I19:I71" si="83">E19&amp;" - ("&amp;H19&amp;" x "&amp;ROUNDDOWN(E22,2)&amp;") = "&amp;ROUNDDOWN(E19-H19*E22,2)</f>
        <v>5 - (1 x 4,5) = 0,5</v>
      </c>
      <c r="J19" s="54">
        <f t="shared" ref="J19" si="84">IF(RANK(N19,N18:N21)&lt;=J22,1,0)</f>
        <v>0</v>
      </c>
      <c r="K19" s="64">
        <f t="shared" si="75"/>
        <v>2</v>
      </c>
      <c r="M19" s="20">
        <f>E19/E22</f>
        <v>1.1111111111111112</v>
      </c>
      <c r="N19" s="21">
        <f>E19-H19*E22</f>
        <v>0.5</v>
      </c>
      <c r="P19" s="5" t="str">
        <f>P16</f>
        <v>PupF</v>
      </c>
      <c r="Q19" s="48">
        <v>29</v>
      </c>
      <c r="R19" s="64">
        <f t="shared" si="76"/>
        <v>5</v>
      </c>
      <c r="S19" s="61">
        <v>1</v>
      </c>
      <c r="T19" s="51" t="str">
        <f t="shared" ref="T19" si="85">R19&amp;" / "&amp;ROUNDDOWN(R22,2)&amp;" = "&amp;ROUND(R19/R22,2)</f>
        <v>5 / 4,5 = 1,11</v>
      </c>
      <c r="U19" s="57">
        <f t="shared" si="78"/>
        <v>1</v>
      </c>
      <c r="V19" s="44" t="str">
        <f t="shared" ref="V19" si="86">R19&amp;" - ("&amp;U19&amp;" x "&amp;ROUNDDOWN(R22,2)&amp;") = "&amp;ROUNDDOWN(R19-U19*R22,2)</f>
        <v>5 - (1 x 4,5) = 0,5</v>
      </c>
      <c r="W19" s="54">
        <f t="shared" ref="W19" si="87">IF(RANK(AA19,AA18:AA21)&lt;=W22,1,0)</f>
        <v>0</v>
      </c>
      <c r="X19" s="64">
        <f t="shared" si="81"/>
        <v>2</v>
      </c>
      <c r="Z19" s="20">
        <f>R19/R22</f>
        <v>1.1111111111111112</v>
      </c>
      <c r="AA19" s="21">
        <f>R19-U19*R22</f>
        <v>0.5</v>
      </c>
    </row>
    <row r="20" spans="2:27" x14ac:dyDescent="0.25">
      <c r="B20" s="5" t="str">
        <f>B16</f>
        <v>PupF</v>
      </c>
      <c r="D20" s="48">
        <v>35</v>
      </c>
      <c r="E20" s="64">
        <f>VLOOKUP(B20&amp;D20,'Calcul Effectifs Référence'!T:U,2,FALSE)</f>
        <v>14</v>
      </c>
      <c r="F20" s="61">
        <v>1</v>
      </c>
      <c r="G20" s="51" t="str">
        <f t="shared" ref="G20:G71" si="88">E20&amp;" / "&amp;ROUNDDOWN(E22,2)&amp;" = "&amp;ROUND(E20/E22,2)</f>
        <v>14 / 4,5 = 3,11</v>
      </c>
      <c r="H20" s="57">
        <f t="shared" si="72"/>
        <v>3</v>
      </c>
      <c r="I20" s="44" t="str">
        <f t="shared" ref="I20:I71" si="89">E20&amp;" - ("&amp;H20&amp;" x "&amp;ROUNDDOWN(E22,2)&amp;") = "&amp;ROUNDDOWN(E20-H20*E22,2)</f>
        <v>14 - (3 x 4,5) = 0,5</v>
      </c>
      <c r="J20" s="54">
        <f t="shared" ref="J20" si="90">IF(RANK(N20,N18:N21)&lt;=J22,1,0)</f>
        <v>0</v>
      </c>
      <c r="K20" s="64">
        <f t="shared" si="75"/>
        <v>4</v>
      </c>
      <c r="M20" s="20">
        <f>E20/E22</f>
        <v>3.1111111111111112</v>
      </c>
      <c r="N20" s="21">
        <f>E20-H20*E22</f>
        <v>0.5</v>
      </c>
      <c r="P20" s="5" t="str">
        <f>P16</f>
        <v>PupF</v>
      </c>
      <c r="Q20" s="48">
        <v>35</v>
      </c>
      <c r="R20" s="64">
        <f t="shared" si="76"/>
        <v>14</v>
      </c>
      <c r="S20" s="61">
        <v>1</v>
      </c>
      <c r="T20" s="51" t="str">
        <f t="shared" ref="T20" si="91">R20&amp;" / "&amp;ROUNDDOWN(R22,2)&amp;" = "&amp;ROUND(R20/R22,2)</f>
        <v>14 / 4,5 = 3,11</v>
      </c>
      <c r="U20" s="57">
        <f t="shared" si="78"/>
        <v>3</v>
      </c>
      <c r="V20" s="44" t="str">
        <f t="shared" ref="V20" si="92">R20&amp;" - ("&amp;U20&amp;" x "&amp;ROUNDDOWN(R22,2)&amp;") = "&amp;ROUNDDOWN(R20-U20*R22,2)</f>
        <v>14 - (3 x 4,5) = 0,5</v>
      </c>
      <c r="W20" s="54">
        <f t="shared" ref="W20" si="93">IF(RANK(AA20,AA18:AA21)&lt;=W22,1,0)</f>
        <v>0</v>
      </c>
      <c r="X20" s="64">
        <f t="shared" si="81"/>
        <v>4</v>
      </c>
      <c r="Z20" s="20">
        <f>R20/R22</f>
        <v>3.1111111111111112</v>
      </c>
      <c r="AA20" s="21">
        <f>R20-U20*R22</f>
        <v>0.5</v>
      </c>
    </row>
    <row r="21" spans="2:27" ht="15.75" thickBot="1" x14ac:dyDescent="0.3">
      <c r="B21" s="5" t="str">
        <f>B16</f>
        <v>PupF</v>
      </c>
      <c r="D21" s="49">
        <v>56</v>
      </c>
      <c r="E21" s="65">
        <f>VLOOKUP(B21&amp;D21,'Calcul Effectifs Référence'!T:U,2,FALSE)</f>
        <v>6</v>
      </c>
      <c r="F21" s="62">
        <v>1</v>
      </c>
      <c r="G21" s="52" t="str">
        <f t="shared" ref="G21:G71" si="94">E21&amp;" / "&amp;ROUNDDOWN(E22,2)&amp;" = "&amp;ROUND(E21/E22,2)</f>
        <v>6 / 4,5 = 1,33</v>
      </c>
      <c r="H21" s="58">
        <f t="shared" si="72"/>
        <v>1</v>
      </c>
      <c r="I21" s="46" t="str">
        <f t="shared" ref="I21:I71" si="95">E21&amp;" - ("&amp;H21&amp;" x "&amp;ROUNDDOWN(E22,2)&amp;") = "&amp;ROUNDDOWN(E21-H21*E22,2)</f>
        <v>6 - (1 x 4,5) = 1,5</v>
      </c>
      <c r="J21" s="55">
        <f t="shared" ref="J21:J71" si="96">IF(RANK(N21,N18:N21)&lt;=J22,1,0)</f>
        <v>0</v>
      </c>
      <c r="K21" s="65">
        <f t="shared" si="75"/>
        <v>2</v>
      </c>
      <c r="M21" s="20">
        <f>E21/E22</f>
        <v>1.3333333333333333</v>
      </c>
      <c r="N21" s="21">
        <f>E21-H21*E22</f>
        <v>1.5</v>
      </c>
      <c r="P21" s="5" t="str">
        <f>P16</f>
        <v>PupF</v>
      </c>
      <c r="Q21" s="49">
        <v>56</v>
      </c>
      <c r="R21" s="65">
        <f t="shared" si="76"/>
        <v>6</v>
      </c>
      <c r="S21" s="62">
        <v>1</v>
      </c>
      <c r="T21" s="52" t="str">
        <f t="shared" ref="T21:T52" si="97">R21&amp;" / "&amp;ROUNDDOWN(R22,2)&amp;" = "&amp;ROUND(R21/R22,2)</f>
        <v>6 / 4,5 = 1,33</v>
      </c>
      <c r="U21" s="58">
        <f t="shared" si="78"/>
        <v>1</v>
      </c>
      <c r="V21" s="46" t="str">
        <f t="shared" ref="V21" si="98">R21&amp;" - ("&amp;U21&amp;" x "&amp;ROUNDDOWN(R22,2)&amp;") = "&amp;ROUNDDOWN(R21-U21*R22,2)</f>
        <v>6 - (1 x 4,5) = 1,5</v>
      </c>
      <c r="W21" s="55">
        <f t="shared" ref="W21" si="99">IF(RANK(AA21,AA18:AA21)&lt;=W22,1,0)</f>
        <v>0</v>
      </c>
      <c r="X21" s="65">
        <f t="shared" si="81"/>
        <v>2</v>
      </c>
      <c r="Z21" s="20">
        <f>R21/R22</f>
        <v>1.3333333333333333</v>
      </c>
      <c r="AA21" s="21">
        <f>R21-U21*R22</f>
        <v>1.5</v>
      </c>
    </row>
    <row r="22" spans="2:27" x14ac:dyDescent="0.25">
      <c r="B22" s="5" t="str">
        <f>B16</f>
        <v>PupF</v>
      </c>
      <c r="D22" s="3"/>
      <c r="E22" s="2">
        <f t="shared" ref="E22" si="100">SUM(E18:E21)/(F22-SUM(F18:F21))</f>
        <v>4.5</v>
      </c>
      <c r="F22" s="1">
        <f>VLOOKUP(D16,'Calcul Places disponibles'!$D$8:$L$17,9,FALSE)</f>
        <v>10</v>
      </c>
      <c r="G22" s="2"/>
      <c r="H22" s="1">
        <f t="shared" si="59"/>
        <v>5</v>
      </c>
      <c r="I22" s="2"/>
      <c r="J22" s="1">
        <f t="shared" ref="J22" si="101">F22-SUM(F18:F21)-H22</f>
        <v>1</v>
      </c>
      <c r="K22" s="1"/>
      <c r="Q22" s="3"/>
      <c r="R22" s="2">
        <f t="shared" ref="R22" si="102">SUM(R18:R21)/(S22-SUM(S18:S21))</f>
        <v>4.5</v>
      </c>
      <c r="S22" s="1">
        <f>VLOOKUP(Q16,'Calcul Places disponibles'!$D$8:$L$17,9,FALSE)</f>
        <v>10</v>
      </c>
      <c r="T22" s="2"/>
      <c r="U22" s="1">
        <f t="shared" ref="U22" si="103">SUM(U18:U21)</f>
        <v>5</v>
      </c>
      <c r="V22" s="2"/>
      <c r="W22" s="1">
        <f t="shared" ref="W22" si="104">S22-SUM(S18:S21)-U22</f>
        <v>1</v>
      </c>
      <c r="X22" s="1"/>
    </row>
    <row r="23" spans="2:27" ht="16.5" thickBot="1" x14ac:dyDescent="0.3">
      <c r="B23" s="5" t="s">
        <v>22</v>
      </c>
      <c r="D23" s="38" t="str">
        <f t="shared" ref="D23:D71" si="105">B23</f>
        <v>PouF</v>
      </c>
      <c r="E23" s="102" t="str">
        <f t="shared" ref="E23:E71" si="106">"Places : "&amp;F29</f>
        <v>Places : 11</v>
      </c>
      <c r="F23" s="102"/>
      <c r="G23" s="102" t="str">
        <f t="shared" ref="G23" si="107">"Quotient de Hare : Q = ("&amp;E25&amp;" + "&amp;E26&amp;" + "&amp;E27&amp;" + "&amp;E28&amp;") / ("&amp;F29&amp;" - "&amp;SUM(F25:F28)&amp;") = "&amp;SUM(E25:E28)&amp;" / "&amp;(F29 - SUM(F25:F28))&amp;" = "&amp;ROUNDDOWN(SUM(E25:E28)/(F29-SUM(F25:F28)),2)</f>
        <v>Quotient de Hare : Q = (6 + 2 + 10 + 9) / (11 - 4) = 27 / 7 = 3,85</v>
      </c>
      <c r="H23" s="102"/>
      <c r="I23" s="102"/>
      <c r="J23" s="102"/>
      <c r="K23" s="102"/>
      <c r="L23" s="39"/>
      <c r="M23" s="7"/>
      <c r="N23" s="7"/>
      <c r="P23" s="5" t="s">
        <v>22</v>
      </c>
      <c r="Q23" s="38" t="str">
        <f t="shared" ref="Q23" si="108">P23</f>
        <v>PouF</v>
      </c>
      <c r="R23" s="102" t="str">
        <f t="shared" ref="R23" si="109">"Places : "&amp;S29</f>
        <v>Places : 11</v>
      </c>
      <c r="S23" s="102"/>
      <c r="T23" s="102" t="str">
        <f t="shared" ref="T23" si="110">"Quotient de Hare : Q = ("&amp;R25&amp;" + "&amp;R26&amp;" + "&amp;R27&amp;" + "&amp;R28&amp;") / ("&amp;S29&amp;" - "&amp;SUM(S25:S28)&amp;") = "&amp;SUM(R25:R28)&amp;" / "&amp;(S29 - SUM(S25:S28))&amp;" = "&amp;ROUNDDOWN(SUM(R25:R28)/(S29-SUM(S25:S28)),2)</f>
        <v>Quotient de Hare : Q = (6 + 2 + 10 + 9) / (11 - 4) = 27 / 7 = 3,85</v>
      </c>
      <c r="U23" s="102"/>
      <c r="V23" s="102"/>
      <c r="W23" s="102"/>
      <c r="X23" s="102"/>
      <c r="Y23" s="39"/>
      <c r="Z23" s="7"/>
      <c r="AA23" s="7"/>
    </row>
    <row r="24" spans="2:27" ht="30.75" thickBot="1" x14ac:dyDescent="0.3">
      <c r="D24" s="40" t="s">
        <v>0</v>
      </c>
      <c r="E24" s="41" t="s">
        <v>26</v>
      </c>
      <c r="F24" s="42" t="s">
        <v>35</v>
      </c>
      <c r="G24" s="41" t="s">
        <v>2</v>
      </c>
      <c r="H24" s="42" t="s">
        <v>3</v>
      </c>
      <c r="I24" s="41" t="s">
        <v>1</v>
      </c>
      <c r="J24" s="42" t="s">
        <v>4</v>
      </c>
      <c r="K24" s="43" t="str">
        <f t="shared" si="27"/>
        <v>Places
(12)</v>
      </c>
      <c r="M24" s="19" t="s">
        <v>27</v>
      </c>
      <c r="N24" s="19" t="s">
        <v>1</v>
      </c>
      <c r="Q24" s="40" t="s">
        <v>0</v>
      </c>
      <c r="R24" s="41" t="s">
        <v>26</v>
      </c>
      <c r="S24" s="42" t="s">
        <v>35</v>
      </c>
      <c r="T24" s="41" t="s">
        <v>2</v>
      </c>
      <c r="U24" s="42" t="s">
        <v>3</v>
      </c>
      <c r="V24" s="41" t="s">
        <v>1</v>
      </c>
      <c r="W24" s="42" t="s">
        <v>4</v>
      </c>
      <c r="X24" s="43" t="str">
        <f t="shared" ref="X24" si="111">"Places
("&amp;SUM(X25:X28)&amp;")"</f>
        <v>Places
(11)</v>
      </c>
      <c r="Z24" s="19" t="s">
        <v>27</v>
      </c>
      <c r="AA24" s="19" t="s">
        <v>1</v>
      </c>
    </row>
    <row r="25" spans="2:27" x14ac:dyDescent="0.25">
      <c r="B25" s="5" t="str">
        <f>B23</f>
        <v>PouF</v>
      </c>
      <c r="D25" s="47">
        <v>22</v>
      </c>
      <c r="E25" s="63">
        <f>VLOOKUP(B25&amp;D25,'Calcul Effectifs Référence'!T:U,2,FALSE)</f>
        <v>6</v>
      </c>
      <c r="F25" s="60">
        <v>1</v>
      </c>
      <c r="G25" s="50" t="str">
        <f t="shared" ref="G25:G71" si="112">E25&amp;" / "&amp;ROUNDDOWN(E29,2)&amp;" = "&amp;ROUND(E25/E29,2)</f>
        <v>6 / 3,85 = 1,56</v>
      </c>
      <c r="H25" s="56">
        <f t="shared" ref="H25:H71" si="113">ROUNDDOWN(M25,0)</f>
        <v>1</v>
      </c>
      <c r="I25" s="45" t="str">
        <f t="shared" ref="I25:I71" si="114">E25&amp;" - ("&amp;H25&amp;" x "&amp;ROUNDDOWN(E29,2)&amp;") = "&amp;ROUNDDOWN(E25-H25*E29,2)</f>
        <v>6 - (1 x 3,85) = 2,14</v>
      </c>
      <c r="J25" s="53">
        <f t="shared" ref="J25" si="115">IF(RANK(N25,N25:N28)&lt;=J29,1,0)</f>
        <v>1</v>
      </c>
      <c r="K25" s="66">
        <f t="shared" ref="K25:K71" si="116">MAX(2,F25+H25+J25)</f>
        <v>3</v>
      </c>
      <c r="M25" s="20">
        <f>E25/E29</f>
        <v>1.5555555555555556</v>
      </c>
      <c r="N25" s="21">
        <f>E25-H25*E29</f>
        <v>2.1428571428571428</v>
      </c>
      <c r="P25" s="5" t="str">
        <f>P23</f>
        <v>PouF</v>
      </c>
      <c r="Q25" s="47">
        <v>22</v>
      </c>
      <c r="R25" s="63">
        <f t="shared" ref="R25:R71" si="117">E25</f>
        <v>6</v>
      </c>
      <c r="S25" s="60">
        <v>1</v>
      </c>
      <c r="T25" s="50" t="str">
        <f t="shared" ref="T25" si="118">R25&amp;" / "&amp;ROUNDDOWN(R29,2)&amp;" = "&amp;ROUND(R25/R29,2)</f>
        <v>6 / 3,85 = 1,56</v>
      </c>
      <c r="U25" s="56">
        <f t="shared" ref="U25:U71" si="119">ROUNDDOWN(Z25,0)</f>
        <v>1</v>
      </c>
      <c r="V25" s="45" t="str">
        <f t="shared" ref="V25" si="120">R25&amp;" - ("&amp;U25&amp;" x "&amp;ROUNDDOWN(R29,2)&amp;") = "&amp;ROUNDDOWN(R25-U25*R29,2)</f>
        <v>6 - (1 x 3,85) = 2,14</v>
      </c>
      <c r="W25" s="53">
        <f t="shared" ref="W25" si="121">IF(RANK(AA25,AA25:AA28)&lt;=W29,1,0)</f>
        <v>1</v>
      </c>
      <c r="X25" s="66">
        <f t="shared" ref="X25:X28" si="122">S25+U25+W25</f>
        <v>3</v>
      </c>
      <c r="Z25" s="20">
        <f>R25/R29</f>
        <v>1.5555555555555556</v>
      </c>
      <c r="AA25" s="21">
        <f>R25-U25*R29</f>
        <v>2.1428571428571428</v>
      </c>
    </row>
    <row r="26" spans="2:27" x14ac:dyDescent="0.25">
      <c r="B26" s="5" t="str">
        <f>B23</f>
        <v>PouF</v>
      </c>
      <c r="D26" s="48">
        <v>29</v>
      </c>
      <c r="E26" s="64">
        <f>VLOOKUP(B26&amp;D26,'Calcul Effectifs Référence'!T:U,2,FALSE)</f>
        <v>2</v>
      </c>
      <c r="F26" s="61">
        <v>1</v>
      </c>
      <c r="G26" s="51" t="str">
        <f t="shared" ref="G26:G71" si="123">E26&amp;" / "&amp;ROUNDDOWN(E29,2)&amp;" = "&amp;ROUND(E26/E29,2)</f>
        <v>2 / 3,85 = 0,52</v>
      </c>
      <c r="H26" s="57">
        <f t="shared" si="113"/>
        <v>0</v>
      </c>
      <c r="I26" s="44" t="str">
        <f t="shared" ref="I26:I71" si="124">E26&amp;" - ("&amp;H26&amp;" x "&amp;ROUNDDOWN(E29,2)&amp;") = "&amp;ROUNDDOWN(E26-H26*E29,2)</f>
        <v>2 - (0 x 3,85) = 2</v>
      </c>
      <c r="J26" s="54">
        <f t="shared" ref="J26" si="125">IF(RANK(N26,N25:N28)&lt;=J29,1,0)</f>
        <v>0</v>
      </c>
      <c r="K26" s="64">
        <f t="shared" si="116"/>
        <v>2</v>
      </c>
      <c r="M26" s="20">
        <f>E26/E29</f>
        <v>0.51851851851851849</v>
      </c>
      <c r="N26" s="21">
        <f>E26-H26*E29</f>
        <v>2</v>
      </c>
      <c r="P26" s="5" t="str">
        <f>P23</f>
        <v>PouF</v>
      </c>
      <c r="Q26" s="48">
        <v>29</v>
      </c>
      <c r="R26" s="64">
        <f t="shared" si="117"/>
        <v>2</v>
      </c>
      <c r="S26" s="61">
        <v>1</v>
      </c>
      <c r="T26" s="51" t="str">
        <f t="shared" ref="T26" si="126">R26&amp;" / "&amp;ROUNDDOWN(R29,2)&amp;" = "&amp;ROUND(R26/R29,2)</f>
        <v>2 / 3,85 = 0,52</v>
      </c>
      <c r="U26" s="57">
        <f t="shared" si="119"/>
        <v>0</v>
      </c>
      <c r="V26" s="44" t="str">
        <f t="shared" ref="V26" si="127">R26&amp;" - ("&amp;U26&amp;" x "&amp;ROUNDDOWN(R29,2)&amp;") = "&amp;ROUNDDOWN(R26-U26*R29,2)</f>
        <v>2 - (0 x 3,85) = 2</v>
      </c>
      <c r="W26" s="54">
        <f t="shared" ref="W26" si="128">IF(RANK(AA26,AA25:AA28)&lt;=W29,1,0)</f>
        <v>0</v>
      </c>
      <c r="X26" s="64">
        <f t="shared" si="122"/>
        <v>1</v>
      </c>
      <c r="Z26" s="20">
        <f>R26/R29</f>
        <v>0.51851851851851849</v>
      </c>
      <c r="AA26" s="21">
        <f>R26-U26*R29</f>
        <v>2</v>
      </c>
    </row>
    <row r="27" spans="2:27" x14ac:dyDescent="0.25">
      <c r="B27" s="5" t="str">
        <f>B23</f>
        <v>PouF</v>
      </c>
      <c r="D27" s="48">
        <v>35</v>
      </c>
      <c r="E27" s="64">
        <f>VLOOKUP(B27&amp;D27,'Calcul Effectifs Référence'!T:U,2,FALSE)</f>
        <v>10</v>
      </c>
      <c r="F27" s="61">
        <v>1</v>
      </c>
      <c r="G27" s="51" t="str">
        <f t="shared" ref="G27:G71" si="129">E27&amp;" / "&amp;ROUNDDOWN(E29,2)&amp;" = "&amp;ROUND(E27/E29,2)</f>
        <v>10 / 3,85 = 2,59</v>
      </c>
      <c r="H27" s="57">
        <f t="shared" si="113"/>
        <v>2</v>
      </c>
      <c r="I27" s="44" t="str">
        <f t="shared" ref="I27:I71" si="130">E27&amp;" - ("&amp;H27&amp;" x "&amp;ROUNDDOWN(E29,2)&amp;") = "&amp;ROUNDDOWN(E27-H27*E29,2)</f>
        <v>10 - (2 x 3,85) = 2,28</v>
      </c>
      <c r="J27" s="54">
        <f t="shared" ref="J27" si="131">IF(RANK(N27,N25:N28)&lt;=J29,1,0)</f>
        <v>1</v>
      </c>
      <c r="K27" s="64">
        <f t="shared" si="116"/>
        <v>4</v>
      </c>
      <c r="M27" s="20">
        <f>E27/E29</f>
        <v>2.5925925925925926</v>
      </c>
      <c r="N27" s="21">
        <f>E27-H27*E29</f>
        <v>2.2857142857142856</v>
      </c>
      <c r="P27" s="5" t="str">
        <f>P23</f>
        <v>PouF</v>
      </c>
      <c r="Q27" s="48">
        <v>35</v>
      </c>
      <c r="R27" s="64">
        <f t="shared" si="117"/>
        <v>10</v>
      </c>
      <c r="S27" s="61">
        <v>1</v>
      </c>
      <c r="T27" s="51" t="str">
        <f t="shared" ref="T27" si="132">R27&amp;" / "&amp;ROUNDDOWN(R29,2)&amp;" = "&amp;ROUND(R27/R29,2)</f>
        <v>10 / 3,85 = 2,59</v>
      </c>
      <c r="U27" s="57">
        <f t="shared" si="119"/>
        <v>2</v>
      </c>
      <c r="V27" s="44" t="str">
        <f t="shared" ref="V27" si="133">R27&amp;" - ("&amp;U27&amp;" x "&amp;ROUNDDOWN(R29,2)&amp;") = "&amp;ROUNDDOWN(R27-U27*R29,2)</f>
        <v>10 - (2 x 3,85) = 2,28</v>
      </c>
      <c r="W27" s="54">
        <f t="shared" ref="W27" si="134">IF(RANK(AA27,AA25:AA28)&lt;=W29,1,0)</f>
        <v>1</v>
      </c>
      <c r="X27" s="64">
        <f t="shared" si="122"/>
        <v>4</v>
      </c>
      <c r="Z27" s="20">
        <f>R27/R29</f>
        <v>2.5925925925925926</v>
      </c>
      <c r="AA27" s="21">
        <f>R27-U27*R29</f>
        <v>2.2857142857142856</v>
      </c>
    </row>
    <row r="28" spans="2:27" ht="15.75" thickBot="1" x14ac:dyDescent="0.3">
      <c r="B28" s="5" t="str">
        <f>B23</f>
        <v>PouF</v>
      </c>
      <c r="D28" s="49">
        <v>56</v>
      </c>
      <c r="E28" s="65">
        <f>VLOOKUP(B28&amp;D28,'Calcul Effectifs Référence'!T:U,2,FALSE)</f>
        <v>9</v>
      </c>
      <c r="F28" s="62">
        <v>1</v>
      </c>
      <c r="G28" s="52" t="str">
        <f t="shared" ref="G28:G71" si="135">E28&amp;" / "&amp;ROUNDDOWN(E29,2)&amp;" = "&amp;ROUND(E28/E29,2)</f>
        <v>9 / 3,85 = 2,33</v>
      </c>
      <c r="H28" s="58">
        <f t="shared" si="113"/>
        <v>2</v>
      </c>
      <c r="I28" s="46" t="str">
        <f t="shared" ref="I28:I71" si="136">E28&amp;" - ("&amp;H28&amp;" x "&amp;ROUNDDOWN(E29,2)&amp;") = "&amp;ROUNDDOWN(E28-H28*E29,2)</f>
        <v>9 - (2 x 3,85) = 1,28</v>
      </c>
      <c r="J28" s="55">
        <f t="shared" ref="J28:J71" si="137">IF(RANK(N28,N25:N28)&lt;=J29,1,0)</f>
        <v>0</v>
      </c>
      <c r="K28" s="65">
        <f t="shared" si="116"/>
        <v>3</v>
      </c>
      <c r="M28" s="20">
        <f>E28/E29</f>
        <v>2.3333333333333335</v>
      </c>
      <c r="N28" s="21">
        <f>E28-H28*E29</f>
        <v>1.2857142857142856</v>
      </c>
      <c r="P28" s="5" t="str">
        <f>P23</f>
        <v>PouF</v>
      </c>
      <c r="Q28" s="49">
        <v>56</v>
      </c>
      <c r="R28" s="65">
        <f t="shared" si="117"/>
        <v>9</v>
      </c>
      <c r="S28" s="62">
        <v>1</v>
      </c>
      <c r="T28" s="52" t="str">
        <f t="shared" ref="T28:T71" si="138">R28&amp;" / "&amp;ROUNDDOWN(R29,2)&amp;" = "&amp;ROUND(R28/R29,2)</f>
        <v>9 / 3,85 = 2,33</v>
      </c>
      <c r="U28" s="58">
        <f t="shared" si="119"/>
        <v>2</v>
      </c>
      <c r="V28" s="46" t="str">
        <f t="shared" ref="V28" si="139">R28&amp;" - ("&amp;U28&amp;" x "&amp;ROUNDDOWN(R29,2)&amp;") = "&amp;ROUNDDOWN(R28-U28*R29,2)</f>
        <v>9 - (2 x 3,85) = 1,28</v>
      </c>
      <c r="W28" s="55">
        <f t="shared" ref="W28" si="140">IF(RANK(AA28,AA25:AA28)&lt;=W29,1,0)</f>
        <v>0</v>
      </c>
      <c r="X28" s="65">
        <f t="shared" si="122"/>
        <v>3</v>
      </c>
      <c r="Z28" s="20">
        <f>R28/R29</f>
        <v>2.3333333333333335</v>
      </c>
      <c r="AA28" s="21">
        <f>R28-U28*R29</f>
        <v>1.2857142857142856</v>
      </c>
    </row>
    <row r="29" spans="2:27" x14ac:dyDescent="0.25">
      <c r="B29" s="5" t="str">
        <f>B23</f>
        <v>PouF</v>
      </c>
      <c r="D29" s="3"/>
      <c r="E29" s="2">
        <f t="shared" ref="E29" si="141">SUM(E25:E28)/(F29-SUM(F25:F28))</f>
        <v>3.8571428571428572</v>
      </c>
      <c r="F29" s="1">
        <f>VLOOKUP(D23,'Calcul Places disponibles'!$D$8:$L$17,9,FALSE)</f>
        <v>11</v>
      </c>
      <c r="G29" s="2"/>
      <c r="H29" s="1">
        <f t="shared" si="59"/>
        <v>5</v>
      </c>
      <c r="I29" s="2"/>
      <c r="J29" s="1">
        <f t="shared" ref="J29" si="142">F29-SUM(F25:F28)-H29</f>
        <v>2</v>
      </c>
      <c r="K29" s="1"/>
      <c r="Q29" s="3"/>
      <c r="R29" s="2">
        <f t="shared" ref="R29" si="143">SUM(R25:R28)/(S29-SUM(S25:S28))</f>
        <v>3.8571428571428572</v>
      </c>
      <c r="S29" s="1">
        <f>VLOOKUP(Q23,'Calcul Places disponibles'!$D$8:$L$17,9,FALSE)</f>
        <v>11</v>
      </c>
      <c r="T29" s="2"/>
      <c r="U29" s="1">
        <f t="shared" ref="U29" si="144">SUM(U25:U28)</f>
        <v>5</v>
      </c>
      <c r="V29" s="2"/>
      <c r="W29" s="1">
        <f t="shared" ref="W29" si="145">S29-SUM(S25:S28)-U29</f>
        <v>2</v>
      </c>
      <c r="X29" s="1"/>
    </row>
    <row r="30" spans="2:27" ht="16.5" thickBot="1" x14ac:dyDescent="0.3">
      <c r="B30" s="5" t="s">
        <v>23</v>
      </c>
      <c r="D30" s="38" t="str">
        <f t="shared" ref="D30:D71" si="146">B30</f>
        <v>PpoF</v>
      </c>
      <c r="E30" s="102" t="str">
        <f t="shared" ref="E30:E71" si="147">"Places : "&amp;F36</f>
        <v>Places : 10</v>
      </c>
      <c r="F30" s="102"/>
      <c r="G30" s="102" t="str">
        <f t="shared" ref="G30" si="148">"Quotient de Hare : Q = ("&amp;E32&amp;" + "&amp;E33&amp;" + "&amp;E34&amp;" + "&amp;E35&amp;") / ("&amp;F36&amp;" - "&amp;SUM(F32:F35)&amp;") = "&amp;SUM(E32:E35)&amp;" / "&amp;(F36 - SUM(F32:F35))&amp;" = "&amp;ROUNDDOWN(SUM(E32:E35)/(F36-SUM(F32:F35)),2)</f>
        <v>Quotient de Hare : Q = (0 + 0 + 4 + 1) / (10 - 4) = 5 / 6 = 0,83</v>
      </c>
      <c r="H30" s="102"/>
      <c r="I30" s="102"/>
      <c r="J30" s="102"/>
      <c r="K30" s="102"/>
      <c r="L30" s="39"/>
      <c r="M30" s="7"/>
      <c r="N30" s="7"/>
      <c r="P30" s="5" t="s">
        <v>23</v>
      </c>
      <c r="Q30" s="38" t="str">
        <f t="shared" ref="Q30" si="149">P30</f>
        <v>PpoF</v>
      </c>
      <c r="R30" s="102" t="str">
        <f t="shared" ref="R30" si="150">"Places : "&amp;S36</f>
        <v>Places : 10</v>
      </c>
      <c r="S30" s="102"/>
      <c r="T30" s="102" t="str">
        <f t="shared" ref="T30" si="151">"Quotient de Hare : Q = ("&amp;R32&amp;" + "&amp;R33&amp;" + "&amp;R34&amp;" + "&amp;R35&amp;") / ("&amp;S36&amp;" - "&amp;SUM(S32:S35)&amp;") = "&amp;SUM(R32:R35)&amp;" / "&amp;(S36 - SUM(S32:S35))&amp;" = "&amp;ROUNDDOWN(SUM(R32:R35)/(S36-SUM(S32:S35)),2)</f>
        <v>Quotient de Hare : Q = (0 + 0 + 4 + 1) / (10 - 4) = 5 / 6 = 0,83</v>
      </c>
      <c r="U30" s="102"/>
      <c r="V30" s="102"/>
      <c r="W30" s="102"/>
      <c r="X30" s="102"/>
      <c r="Y30" s="39"/>
      <c r="Z30" s="7"/>
      <c r="AA30" s="7"/>
    </row>
    <row r="31" spans="2:27" ht="30.75" thickBot="1" x14ac:dyDescent="0.3">
      <c r="D31" s="40" t="s">
        <v>0</v>
      </c>
      <c r="E31" s="41" t="s">
        <v>26</v>
      </c>
      <c r="F31" s="42" t="s">
        <v>35</v>
      </c>
      <c r="G31" s="41" t="s">
        <v>2</v>
      </c>
      <c r="H31" s="42" t="s">
        <v>3</v>
      </c>
      <c r="I31" s="41" t="s">
        <v>1</v>
      </c>
      <c r="J31" s="42" t="s">
        <v>4</v>
      </c>
      <c r="K31" s="43" t="str">
        <f t="shared" si="27"/>
        <v>Places
(12)</v>
      </c>
      <c r="M31" s="19" t="s">
        <v>27</v>
      </c>
      <c r="N31" s="19" t="s">
        <v>1</v>
      </c>
      <c r="Q31" s="40" t="s">
        <v>0</v>
      </c>
      <c r="R31" s="41" t="s">
        <v>26</v>
      </c>
      <c r="S31" s="42" t="s">
        <v>35</v>
      </c>
      <c r="T31" s="41" t="s">
        <v>2</v>
      </c>
      <c r="U31" s="42" t="s">
        <v>3</v>
      </c>
      <c r="V31" s="41" t="s">
        <v>1</v>
      </c>
      <c r="W31" s="42" t="s">
        <v>4</v>
      </c>
      <c r="X31" s="43" t="str">
        <f t="shared" ref="X31" si="152">"Places
("&amp;SUM(X32:X35)&amp;")"</f>
        <v>Places
(10)</v>
      </c>
      <c r="Z31" s="19" t="s">
        <v>27</v>
      </c>
      <c r="AA31" s="19" t="s">
        <v>1</v>
      </c>
    </row>
    <row r="32" spans="2:27" x14ac:dyDescent="0.25">
      <c r="B32" s="5" t="str">
        <f>B30</f>
        <v>PpoF</v>
      </c>
      <c r="D32" s="47">
        <v>22</v>
      </c>
      <c r="E32" s="63">
        <f>VLOOKUP(B32&amp;D32,'Calcul Effectifs Référence'!T:U,2,FALSE)</f>
        <v>0</v>
      </c>
      <c r="F32" s="60">
        <v>1</v>
      </c>
      <c r="G32" s="50" t="str">
        <f t="shared" ref="G32:G71" si="153">E32&amp;" / "&amp;ROUNDDOWN(E36,2)&amp;" = "&amp;ROUND(E32/E36,2)</f>
        <v>0 / 0,83 = 0</v>
      </c>
      <c r="H32" s="56">
        <f t="shared" ref="H32:H71" si="154">ROUNDDOWN(M32,0)</f>
        <v>0</v>
      </c>
      <c r="I32" s="45" t="str">
        <f t="shared" ref="I32:I71" si="155">E32&amp;" - ("&amp;H32&amp;" x "&amp;ROUNDDOWN(E36,2)&amp;") = "&amp;ROUNDDOWN(E32-H32*E36,2)</f>
        <v>0 - (0 x 0,83) = 0</v>
      </c>
      <c r="J32" s="53">
        <f t="shared" ref="J32" si="156">IF(RANK(N32,N32:N35)&lt;=J36,1,0)</f>
        <v>0</v>
      </c>
      <c r="K32" s="66">
        <f t="shared" ref="K32:K71" si="157">MAX(2,F32+H32+J32)</f>
        <v>2</v>
      </c>
      <c r="M32" s="20">
        <f>E32/E36</f>
        <v>0</v>
      </c>
      <c r="N32" s="21">
        <f>E32-H32*E36</f>
        <v>0</v>
      </c>
      <c r="P32" s="5" t="str">
        <f>P30</f>
        <v>PpoF</v>
      </c>
      <c r="Q32" s="47">
        <v>22</v>
      </c>
      <c r="R32" s="63">
        <f t="shared" ref="R32:R71" si="158">E32</f>
        <v>0</v>
      </c>
      <c r="S32" s="60">
        <v>1</v>
      </c>
      <c r="T32" s="50" t="str">
        <f t="shared" ref="T32" si="159">R32&amp;" / "&amp;ROUNDDOWN(R36,2)&amp;" = "&amp;ROUND(R32/R36,2)</f>
        <v>0 / 0,83 = 0</v>
      </c>
      <c r="U32" s="56">
        <f t="shared" ref="U32:U71" si="160">ROUNDDOWN(Z32,0)</f>
        <v>0</v>
      </c>
      <c r="V32" s="45" t="str">
        <f t="shared" ref="V32" si="161">R32&amp;" - ("&amp;U32&amp;" x "&amp;ROUNDDOWN(R36,2)&amp;") = "&amp;ROUNDDOWN(R32-U32*R36,2)</f>
        <v>0 - (0 x 0,83) = 0</v>
      </c>
      <c r="W32" s="53">
        <f t="shared" ref="W32" si="162">IF(RANK(AA32,AA32:AA35)&lt;=W36,1,0)</f>
        <v>0</v>
      </c>
      <c r="X32" s="66">
        <f t="shared" ref="X32:X35" si="163">S32+U32+W32</f>
        <v>1</v>
      </c>
      <c r="Z32" s="20">
        <f>R32/R36</f>
        <v>0</v>
      </c>
      <c r="AA32" s="21">
        <f>R32-U32*R36</f>
        <v>0</v>
      </c>
    </row>
    <row r="33" spans="2:27" x14ac:dyDescent="0.25">
      <c r="B33" s="5" t="str">
        <f>B30</f>
        <v>PpoF</v>
      </c>
      <c r="D33" s="48">
        <v>29</v>
      </c>
      <c r="E33" s="64">
        <f>VLOOKUP(B33&amp;D33,'Calcul Effectifs Référence'!T:U,2,FALSE)</f>
        <v>0</v>
      </c>
      <c r="F33" s="61">
        <v>1</v>
      </c>
      <c r="G33" s="51" t="str">
        <f t="shared" ref="G33:G71" si="164">E33&amp;" / "&amp;ROUNDDOWN(E36,2)&amp;" = "&amp;ROUND(E33/E36,2)</f>
        <v>0 / 0,83 = 0</v>
      </c>
      <c r="H33" s="57">
        <f t="shared" si="154"/>
        <v>0</v>
      </c>
      <c r="I33" s="44" t="str">
        <f t="shared" ref="I33:I71" si="165">E33&amp;" - ("&amp;H33&amp;" x "&amp;ROUNDDOWN(E36,2)&amp;") = "&amp;ROUNDDOWN(E33-H33*E36,2)</f>
        <v>0 - (0 x 0,83) = 0</v>
      </c>
      <c r="J33" s="54">
        <f t="shared" ref="J33" si="166">IF(RANK(N33,N32:N35)&lt;=J36,1,0)</f>
        <v>0</v>
      </c>
      <c r="K33" s="64">
        <f t="shared" si="157"/>
        <v>2</v>
      </c>
      <c r="M33" s="20">
        <f>E33/E36</f>
        <v>0</v>
      </c>
      <c r="N33" s="21">
        <f>E33-H33*E36</f>
        <v>0</v>
      </c>
      <c r="P33" s="5" t="str">
        <f>P30</f>
        <v>PpoF</v>
      </c>
      <c r="Q33" s="48">
        <v>29</v>
      </c>
      <c r="R33" s="64">
        <f t="shared" si="158"/>
        <v>0</v>
      </c>
      <c r="S33" s="61">
        <v>1</v>
      </c>
      <c r="T33" s="51" t="str">
        <f t="shared" ref="T33" si="167">R33&amp;" / "&amp;ROUNDDOWN(R36,2)&amp;" = "&amp;ROUND(R33/R36,2)</f>
        <v>0 / 0,83 = 0</v>
      </c>
      <c r="U33" s="57">
        <f t="shared" si="160"/>
        <v>0</v>
      </c>
      <c r="V33" s="44" t="str">
        <f t="shared" ref="V33" si="168">R33&amp;" - ("&amp;U33&amp;" x "&amp;ROUNDDOWN(R36,2)&amp;") = "&amp;ROUNDDOWN(R33-U33*R36,2)</f>
        <v>0 - (0 x 0,83) = 0</v>
      </c>
      <c r="W33" s="54">
        <f t="shared" ref="W33" si="169">IF(RANK(AA33,AA32:AA35)&lt;=W36,1,0)</f>
        <v>0</v>
      </c>
      <c r="X33" s="64">
        <f t="shared" si="163"/>
        <v>1</v>
      </c>
      <c r="Z33" s="20">
        <f>R33/R36</f>
        <v>0</v>
      </c>
      <c r="AA33" s="21">
        <f>R33-U33*R36</f>
        <v>0</v>
      </c>
    </row>
    <row r="34" spans="2:27" x14ac:dyDescent="0.25">
      <c r="B34" s="5" t="str">
        <f>B30</f>
        <v>PpoF</v>
      </c>
      <c r="D34" s="48">
        <v>35</v>
      </c>
      <c r="E34" s="64">
        <f>VLOOKUP(B34&amp;D34,'Calcul Effectifs Référence'!T:U,2,FALSE)</f>
        <v>4</v>
      </c>
      <c r="F34" s="61">
        <v>1</v>
      </c>
      <c r="G34" s="51" t="str">
        <f t="shared" ref="G34:G71" si="170">E34&amp;" / "&amp;ROUNDDOWN(E36,2)&amp;" = "&amp;ROUND(E34/E36,2)</f>
        <v>4 / 0,83 = 4,8</v>
      </c>
      <c r="H34" s="57">
        <f t="shared" si="154"/>
        <v>4</v>
      </c>
      <c r="I34" s="44" t="str">
        <f t="shared" ref="I34:I71" si="171">E34&amp;" - ("&amp;H34&amp;" x "&amp;ROUNDDOWN(E36,2)&amp;") = "&amp;ROUNDDOWN(E34-H34*E36,2)</f>
        <v>4 - (4 x 0,83) = 0,66</v>
      </c>
      <c r="J34" s="54">
        <f t="shared" ref="J34" si="172">IF(RANK(N34,N32:N35)&lt;=J36,1,0)</f>
        <v>1</v>
      </c>
      <c r="K34" s="64">
        <f t="shared" si="157"/>
        <v>6</v>
      </c>
      <c r="M34" s="20">
        <f>E34/E36</f>
        <v>4.8</v>
      </c>
      <c r="N34" s="21">
        <f>E34-H34*E36</f>
        <v>0.66666666666666652</v>
      </c>
      <c r="P34" s="5" t="str">
        <f>P30</f>
        <v>PpoF</v>
      </c>
      <c r="Q34" s="48">
        <v>35</v>
      </c>
      <c r="R34" s="64">
        <f t="shared" si="158"/>
        <v>4</v>
      </c>
      <c r="S34" s="61">
        <v>1</v>
      </c>
      <c r="T34" s="51" t="str">
        <f t="shared" ref="T34" si="173">R34&amp;" / "&amp;ROUNDDOWN(R36,2)&amp;" = "&amp;ROUND(R34/R36,2)</f>
        <v>4 / 0,83 = 4,8</v>
      </c>
      <c r="U34" s="57">
        <f t="shared" si="160"/>
        <v>4</v>
      </c>
      <c r="V34" s="44" t="str">
        <f t="shared" ref="V34" si="174">R34&amp;" - ("&amp;U34&amp;" x "&amp;ROUNDDOWN(R36,2)&amp;") = "&amp;ROUNDDOWN(R34-U34*R36,2)</f>
        <v>4 - (4 x 0,83) = 0,66</v>
      </c>
      <c r="W34" s="54">
        <f t="shared" ref="W34" si="175">IF(RANK(AA34,AA32:AA35)&lt;=W36,1,0)</f>
        <v>1</v>
      </c>
      <c r="X34" s="64">
        <f t="shared" si="163"/>
        <v>6</v>
      </c>
      <c r="Z34" s="20">
        <f>R34/R36</f>
        <v>4.8</v>
      </c>
      <c r="AA34" s="21">
        <f>R34-U34*R36</f>
        <v>0.66666666666666652</v>
      </c>
    </row>
    <row r="35" spans="2:27" ht="15.75" thickBot="1" x14ac:dyDescent="0.3">
      <c r="B35" s="5" t="str">
        <f>B30</f>
        <v>PpoF</v>
      </c>
      <c r="D35" s="49">
        <v>56</v>
      </c>
      <c r="E35" s="65">
        <f>VLOOKUP(B35&amp;D35,'Calcul Effectifs Référence'!T:U,2,FALSE)</f>
        <v>1</v>
      </c>
      <c r="F35" s="62">
        <v>1</v>
      </c>
      <c r="G35" s="52" t="str">
        <f t="shared" ref="G35:G71" si="176">E35&amp;" / "&amp;ROUNDDOWN(E36,2)&amp;" = "&amp;ROUND(E35/E36,2)</f>
        <v>1 / 0,83 = 1,2</v>
      </c>
      <c r="H35" s="58">
        <f t="shared" si="154"/>
        <v>1</v>
      </c>
      <c r="I35" s="46" t="str">
        <f t="shared" ref="I35:I71" si="177">E35&amp;" - ("&amp;H35&amp;" x "&amp;ROUNDDOWN(E36,2)&amp;") = "&amp;ROUNDDOWN(E35-H35*E36,2)</f>
        <v>1 - (1 x 0,83) = 0,16</v>
      </c>
      <c r="J35" s="55">
        <f t="shared" ref="J35:J71" si="178">IF(RANK(N35,N32:N35)&lt;=J36,1,0)</f>
        <v>0</v>
      </c>
      <c r="K35" s="65">
        <f t="shared" si="157"/>
        <v>2</v>
      </c>
      <c r="M35" s="20">
        <f>E35/E36</f>
        <v>1.2</v>
      </c>
      <c r="N35" s="21">
        <f>E35-H35*E36</f>
        <v>0.16666666666666663</v>
      </c>
      <c r="P35" s="5" t="str">
        <f>P30</f>
        <v>PpoF</v>
      </c>
      <c r="Q35" s="49">
        <v>56</v>
      </c>
      <c r="R35" s="65">
        <f t="shared" si="158"/>
        <v>1</v>
      </c>
      <c r="S35" s="62">
        <v>1</v>
      </c>
      <c r="T35" s="52" t="str">
        <f t="shared" ref="T35:T71" si="179">R35&amp;" / "&amp;ROUNDDOWN(R36,2)&amp;" = "&amp;ROUND(R35/R36,2)</f>
        <v>1 / 0,83 = 1,2</v>
      </c>
      <c r="U35" s="58">
        <f t="shared" si="160"/>
        <v>1</v>
      </c>
      <c r="V35" s="46" t="str">
        <f t="shared" ref="V35" si="180">R35&amp;" - ("&amp;U35&amp;" x "&amp;ROUNDDOWN(R36,2)&amp;") = "&amp;ROUNDDOWN(R35-U35*R36,2)</f>
        <v>1 - (1 x 0,83) = 0,16</v>
      </c>
      <c r="W35" s="55">
        <f t="shared" ref="W35" si="181">IF(RANK(AA35,AA32:AA35)&lt;=W36,1,0)</f>
        <v>0</v>
      </c>
      <c r="X35" s="65">
        <f t="shared" si="163"/>
        <v>2</v>
      </c>
      <c r="Z35" s="20">
        <f>R35/R36</f>
        <v>1.2</v>
      </c>
      <c r="AA35" s="21">
        <f>R35-U35*R36</f>
        <v>0.16666666666666663</v>
      </c>
    </row>
    <row r="36" spans="2:27" x14ac:dyDescent="0.25">
      <c r="B36" s="5" t="str">
        <f>B30</f>
        <v>PpoF</v>
      </c>
      <c r="D36" s="3"/>
      <c r="E36" s="2">
        <f t="shared" ref="E36" si="182">SUM(E32:E35)/(F36-SUM(F32:F35))</f>
        <v>0.83333333333333337</v>
      </c>
      <c r="F36" s="1">
        <f>VLOOKUP(D30,'Calcul Places disponibles'!$D$8:$L$17,9,FALSE)</f>
        <v>10</v>
      </c>
      <c r="G36" s="2"/>
      <c r="H36" s="1">
        <f t="shared" si="59"/>
        <v>5</v>
      </c>
      <c r="I36" s="2"/>
      <c r="J36" s="1">
        <f t="shared" ref="J36" si="183">F36-SUM(F32:F35)-H36</f>
        <v>1</v>
      </c>
      <c r="K36" s="1"/>
      <c r="Q36" s="3"/>
      <c r="R36" s="2">
        <f t="shared" ref="R36" si="184">SUM(R32:R35)/(S36-SUM(S32:S35))</f>
        <v>0.83333333333333337</v>
      </c>
      <c r="S36" s="1">
        <f>VLOOKUP(Q30,'Calcul Places disponibles'!$D$8:$L$17,9,FALSE)</f>
        <v>10</v>
      </c>
      <c r="T36" s="2"/>
      <c r="U36" s="1">
        <f t="shared" ref="U36" si="185">SUM(U32:U35)</f>
        <v>5</v>
      </c>
      <c r="V36" s="2"/>
      <c r="W36" s="1">
        <f t="shared" ref="W36" si="186">S36-SUM(S32:S35)-U36</f>
        <v>1</v>
      </c>
      <c r="X36" s="1"/>
    </row>
    <row r="37" spans="2:27" ht="16.5" thickBot="1" x14ac:dyDescent="0.3">
      <c r="B37" s="5" t="s">
        <v>16</v>
      </c>
      <c r="D37" s="38" t="str">
        <f t="shared" ref="D37:D71" si="187">B37</f>
        <v>MinM</v>
      </c>
      <c r="E37" s="102" t="str">
        <f t="shared" ref="E37:E71" si="188">"Places : "&amp;F43</f>
        <v>Places : 24</v>
      </c>
      <c r="F37" s="102"/>
      <c r="G37" s="102" t="str">
        <f t="shared" ref="G37" si="189">"Quotient de Hare : Q = ("&amp;E39&amp;" + "&amp;E40&amp;" + "&amp;E41&amp;" + "&amp;E42&amp;") / ("&amp;F43&amp;" - "&amp;SUM(F39:F42)&amp;") = "&amp;SUM(E39:E42)&amp;" / "&amp;(F43 - SUM(F39:F42))&amp;" = "&amp;ROUNDDOWN(SUM(E39:E42)/(F43-SUM(F39:F42)),2)</f>
        <v>Quotient de Hare : Q = (16 + 20 + 39 + 17) / (24 - 4) = 92 / 20 = 4,6</v>
      </c>
      <c r="H37" s="102"/>
      <c r="I37" s="102"/>
      <c r="J37" s="102"/>
      <c r="K37" s="102"/>
      <c r="L37" s="39"/>
      <c r="M37" s="7"/>
      <c r="N37" s="7"/>
      <c r="P37" s="5" t="s">
        <v>16</v>
      </c>
      <c r="Q37" s="38" t="str">
        <f t="shared" ref="Q37" si="190">P37</f>
        <v>MinM</v>
      </c>
      <c r="R37" s="102" t="str">
        <f t="shared" ref="R37" si="191">"Places : "&amp;S43</f>
        <v>Places : 24</v>
      </c>
      <c r="S37" s="102"/>
      <c r="T37" s="102" t="str">
        <f t="shared" ref="T37" si="192">"Quotient de Hare : Q = ("&amp;R39&amp;" + "&amp;R40&amp;" + "&amp;R41&amp;" + "&amp;R42&amp;") / ("&amp;S43&amp;" - "&amp;SUM(S39:S42)&amp;") = "&amp;SUM(R39:R42)&amp;" / "&amp;(S43 - SUM(S39:S42))&amp;" = "&amp;ROUNDDOWN(SUM(R39:R42)/(S43-SUM(S39:S42)),2)</f>
        <v>Quotient de Hare : Q = (16 + 20 + 39 + 17) / (24 - 4) = 92 / 20 = 4,6</v>
      </c>
      <c r="U37" s="102"/>
      <c r="V37" s="102"/>
      <c r="W37" s="102"/>
      <c r="X37" s="102"/>
      <c r="Y37" s="39"/>
      <c r="Z37" s="7"/>
      <c r="AA37" s="7"/>
    </row>
    <row r="38" spans="2:27" ht="30.75" thickBot="1" x14ac:dyDescent="0.3">
      <c r="D38" s="40" t="s">
        <v>0</v>
      </c>
      <c r="E38" s="41" t="s">
        <v>26</v>
      </c>
      <c r="F38" s="42" t="s">
        <v>35</v>
      </c>
      <c r="G38" s="41" t="s">
        <v>2</v>
      </c>
      <c r="H38" s="42" t="s">
        <v>3</v>
      </c>
      <c r="I38" s="41" t="s">
        <v>1</v>
      </c>
      <c r="J38" s="42" t="s">
        <v>4</v>
      </c>
      <c r="K38" s="43" t="str">
        <f t="shared" si="27"/>
        <v>Places
(24)</v>
      </c>
      <c r="M38" s="19" t="s">
        <v>27</v>
      </c>
      <c r="N38" s="19" t="s">
        <v>1</v>
      </c>
      <c r="Q38" s="40" t="s">
        <v>0</v>
      </c>
      <c r="R38" s="41" t="s">
        <v>26</v>
      </c>
      <c r="S38" s="42" t="s">
        <v>35</v>
      </c>
      <c r="T38" s="41" t="s">
        <v>2</v>
      </c>
      <c r="U38" s="42" t="s">
        <v>3</v>
      </c>
      <c r="V38" s="41" t="s">
        <v>1</v>
      </c>
      <c r="W38" s="42" t="s">
        <v>4</v>
      </c>
      <c r="X38" s="43" t="str">
        <f t="shared" ref="X38" si="193">"Places
("&amp;SUM(X39:X42)&amp;")"</f>
        <v>Places
(24)</v>
      </c>
      <c r="Z38" s="19" t="s">
        <v>27</v>
      </c>
      <c r="AA38" s="19" t="s">
        <v>1</v>
      </c>
    </row>
    <row r="39" spans="2:27" x14ac:dyDescent="0.25">
      <c r="B39" s="5" t="str">
        <f>B37</f>
        <v>MinM</v>
      </c>
      <c r="D39" s="47">
        <v>22</v>
      </c>
      <c r="E39" s="63">
        <f>VLOOKUP(B39&amp;D39,'Calcul Effectifs Référence'!T:U,2,FALSE)</f>
        <v>16</v>
      </c>
      <c r="F39" s="60">
        <v>1</v>
      </c>
      <c r="G39" s="50" t="str">
        <f t="shared" ref="G39:G71" si="194">E39&amp;" / "&amp;ROUNDDOWN(E43,2)&amp;" = "&amp;ROUND(E39/E43,2)</f>
        <v>16 / 4,6 = 3,48</v>
      </c>
      <c r="H39" s="56">
        <f t="shared" ref="H39:H71" si="195">ROUNDDOWN(M39,0)</f>
        <v>3</v>
      </c>
      <c r="I39" s="45" t="str">
        <f t="shared" ref="I39:I71" si="196">E39&amp;" - ("&amp;H39&amp;" x "&amp;ROUNDDOWN(E43,2)&amp;") = "&amp;ROUNDDOWN(E39-H39*E43,2)</f>
        <v>16 - (3 x 4,6) = 2,2</v>
      </c>
      <c r="J39" s="53">
        <f t="shared" ref="J39" si="197">IF(RANK(N39,N39:N42)&lt;=J43,1,0)</f>
        <v>0</v>
      </c>
      <c r="K39" s="66">
        <f t="shared" ref="K39:K71" si="198">MAX(2,F39+H39+J39)</f>
        <v>4</v>
      </c>
      <c r="M39" s="20">
        <f>E39/E43</f>
        <v>3.4782608695652177</v>
      </c>
      <c r="N39" s="21">
        <f>E39-H39*E43</f>
        <v>2.2000000000000011</v>
      </c>
      <c r="P39" s="5" t="str">
        <f>P37</f>
        <v>MinM</v>
      </c>
      <c r="Q39" s="47">
        <v>22</v>
      </c>
      <c r="R39" s="63">
        <f t="shared" ref="R39:R71" si="199">E39</f>
        <v>16</v>
      </c>
      <c r="S39" s="60">
        <v>1</v>
      </c>
      <c r="T39" s="50" t="str">
        <f t="shared" ref="T39" si="200">R39&amp;" / "&amp;ROUNDDOWN(R43,2)&amp;" = "&amp;ROUND(R39/R43,2)</f>
        <v>16 / 4,6 = 3,48</v>
      </c>
      <c r="U39" s="56">
        <f t="shared" ref="U39:U71" si="201">ROUNDDOWN(Z39,0)</f>
        <v>3</v>
      </c>
      <c r="V39" s="45" t="str">
        <f t="shared" ref="V39" si="202">R39&amp;" - ("&amp;U39&amp;" x "&amp;ROUNDDOWN(R43,2)&amp;") = "&amp;ROUNDDOWN(R39-U39*R43,2)</f>
        <v>16 - (3 x 4,6) = 2,2</v>
      </c>
      <c r="W39" s="53">
        <f t="shared" ref="W39" si="203">IF(RANK(AA39,AA39:AA42)&lt;=W43,1,0)</f>
        <v>0</v>
      </c>
      <c r="X39" s="66">
        <f t="shared" ref="X39:X42" si="204">S39+U39+W39</f>
        <v>4</v>
      </c>
      <c r="Z39" s="20">
        <f>R39/R43</f>
        <v>3.4782608695652177</v>
      </c>
      <c r="AA39" s="21">
        <f>R39-U39*R43</f>
        <v>2.2000000000000011</v>
      </c>
    </row>
    <row r="40" spans="2:27" x14ac:dyDescent="0.25">
      <c r="B40" s="5" t="str">
        <f>B37</f>
        <v>MinM</v>
      </c>
      <c r="D40" s="48">
        <v>29</v>
      </c>
      <c r="E40" s="64">
        <f>VLOOKUP(B40&amp;D40,'Calcul Effectifs Référence'!T:U,2,FALSE)</f>
        <v>20</v>
      </c>
      <c r="F40" s="61">
        <v>1</v>
      </c>
      <c r="G40" s="51" t="str">
        <f t="shared" ref="G40:G71" si="205">E40&amp;" / "&amp;ROUNDDOWN(E43,2)&amp;" = "&amp;ROUND(E40/E43,2)</f>
        <v>20 / 4,6 = 4,35</v>
      </c>
      <c r="H40" s="57">
        <f t="shared" si="195"/>
        <v>4</v>
      </c>
      <c r="I40" s="44" t="str">
        <f t="shared" ref="I40:I71" si="206">E40&amp;" - ("&amp;H40&amp;" x "&amp;ROUNDDOWN(E43,2)&amp;") = "&amp;ROUNDDOWN(E40-H40*E43,2)</f>
        <v>20 - (4 x 4,6) = 1,6</v>
      </c>
      <c r="J40" s="54">
        <f t="shared" ref="J40" si="207">IF(RANK(N40,N39:N42)&lt;=J43,1,0)</f>
        <v>0</v>
      </c>
      <c r="K40" s="64">
        <f t="shared" si="198"/>
        <v>5</v>
      </c>
      <c r="M40" s="20">
        <f>E40/E43</f>
        <v>4.3478260869565224</v>
      </c>
      <c r="N40" s="21">
        <f>E40-H40*E43</f>
        <v>1.6000000000000014</v>
      </c>
      <c r="P40" s="5" t="str">
        <f>P37</f>
        <v>MinM</v>
      </c>
      <c r="Q40" s="48">
        <v>29</v>
      </c>
      <c r="R40" s="64">
        <f t="shared" si="199"/>
        <v>20</v>
      </c>
      <c r="S40" s="61">
        <v>1</v>
      </c>
      <c r="T40" s="51" t="str">
        <f t="shared" ref="T40" si="208">R40&amp;" / "&amp;ROUNDDOWN(R43,2)&amp;" = "&amp;ROUND(R40/R43,2)</f>
        <v>20 / 4,6 = 4,35</v>
      </c>
      <c r="U40" s="57">
        <f t="shared" si="201"/>
        <v>4</v>
      </c>
      <c r="V40" s="44" t="str">
        <f t="shared" ref="V40" si="209">R40&amp;" - ("&amp;U40&amp;" x "&amp;ROUNDDOWN(R43,2)&amp;") = "&amp;ROUNDDOWN(R40-U40*R43,2)</f>
        <v>20 - (4 x 4,6) = 1,6</v>
      </c>
      <c r="W40" s="54">
        <f t="shared" ref="W40" si="210">IF(RANK(AA40,AA39:AA42)&lt;=W43,1,0)</f>
        <v>0</v>
      </c>
      <c r="X40" s="64">
        <f t="shared" si="204"/>
        <v>5</v>
      </c>
      <c r="Z40" s="20">
        <f>R40/R43</f>
        <v>4.3478260869565224</v>
      </c>
      <c r="AA40" s="21">
        <f>R40-U40*R43</f>
        <v>1.6000000000000014</v>
      </c>
    </row>
    <row r="41" spans="2:27" x14ac:dyDescent="0.25">
      <c r="B41" s="5" t="str">
        <f>B37</f>
        <v>MinM</v>
      </c>
      <c r="D41" s="48">
        <v>35</v>
      </c>
      <c r="E41" s="64">
        <f>VLOOKUP(B41&amp;D41,'Calcul Effectifs Référence'!T:U,2,FALSE)</f>
        <v>39</v>
      </c>
      <c r="F41" s="61">
        <v>1</v>
      </c>
      <c r="G41" s="51" t="str">
        <f t="shared" ref="G41:G71" si="211">E41&amp;" / "&amp;ROUNDDOWN(E43,2)&amp;" = "&amp;ROUND(E41/E43,2)</f>
        <v>39 / 4,6 = 8,48</v>
      </c>
      <c r="H41" s="57">
        <f t="shared" si="195"/>
        <v>8</v>
      </c>
      <c r="I41" s="44" t="str">
        <f t="shared" ref="I41:I71" si="212">E41&amp;" - ("&amp;H41&amp;" x "&amp;ROUNDDOWN(E43,2)&amp;") = "&amp;ROUNDDOWN(E41-H41*E43,2)</f>
        <v>39 - (8 x 4,6) = 2,2</v>
      </c>
      <c r="J41" s="54">
        <f t="shared" ref="J41" si="213">IF(RANK(N41,N39:N42)&lt;=J43,1,0)</f>
        <v>1</v>
      </c>
      <c r="K41" s="64">
        <f t="shared" si="198"/>
        <v>10</v>
      </c>
      <c r="M41" s="20">
        <f>E41/E43</f>
        <v>8.4782608695652186</v>
      </c>
      <c r="N41" s="21">
        <f>E41-H41*E43</f>
        <v>2.2000000000000028</v>
      </c>
      <c r="P41" s="5" t="str">
        <f>P37</f>
        <v>MinM</v>
      </c>
      <c r="Q41" s="48">
        <v>35</v>
      </c>
      <c r="R41" s="64">
        <f t="shared" si="199"/>
        <v>39</v>
      </c>
      <c r="S41" s="61">
        <v>1</v>
      </c>
      <c r="T41" s="51" t="str">
        <f t="shared" ref="T41" si="214">R41&amp;" / "&amp;ROUNDDOWN(R43,2)&amp;" = "&amp;ROUND(R41/R43,2)</f>
        <v>39 / 4,6 = 8,48</v>
      </c>
      <c r="U41" s="57">
        <f t="shared" si="201"/>
        <v>8</v>
      </c>
      <c r="V41" s="44" t="str">
        <f t="shared" ref="V41" si="215">R41&amp;" - ("&amp;U41&amp;" x "&amp;ROUNDDOWN(R43,2)&amp;") = "&amp;ROUNDDOWN(R41-U41*R43,2)</f>
        <v>39 - (8 x 4,6) = 2,2</v>
      </c>
      <c r="W41" s="54">
        <f t="shared" ref="W41" si="216">IF(RANK(AA41,AA39:AA42)&lt;=W43,1,0)</f>
        <v>1</v>
      </c>
      <c r="X41" s="64">
        <f t="shared" si="204"/>
        <v>10</v>
      </c>
      <c r="Z41" s="20">
        <f>R41/R43</f>
        <v>8.4782608695652186</v>
      </c>
      <c r="AA41" s="21">
        <f>R41-U41*R43</f>
        <v>2.2000000000000028</v>
      </c>
    </row>
    <row r="42" spans="2:27" ht="15.75" thickBot="1" x14ac:dyDescent="0.3">
      <c r="B42" s="5" t="str">
        <f>B37</f>
        <v>MinM</v>
      </c>
      <c r="D42" s="49">
        <v>56</v>
      </c>
      <c r="E42" s="65">
        <f>VLOOKUP(B42&amp;D42,'Calcul Effectifs Référence'!T:U,2,FALSE)</f>
        <v>17</v>
      </c>
      <c r="F42" s="62">
        <v>1</v>
      </c>
      <c r="G42" s="52" t="str">
        <f t="shared" ref="G42:G71" si="217">E42&amp;" / "&amp;ROUNDDOWN(E43,2)&amp;" = "&amp;ROUND(E42/E43,2)</f>
        <v>17 / 4,6 = 3,7</v>
      </c>
      <c r="H42" s="58">
        <f t="shared" si="195"/>
        <v>3</v>
      </c>
      <c r="I42" s="46" t="str">
        <f t="shared" ref="I42:I71" si="218">E42&amp;" - ("&amp;H42&amp;" x "&amp;ROUNDDOWN(E43,2)&amp;") = "&amp;ROUNDDOWN(E42-H42*E43,2)</f>
        <v>17 - (3 x 4,6) = 3,2</v>
      </c>
      <c r="J42" s="55">
        <f t="shared" ref="J42:J71" si="219">IF(RANK(N42,N39:N42)&lt;=J43,1,0)</f>
        <v>1</v>
      </c>
      <c r="K42" s="65">
        <f t="shared" si="198"/>
        <v>5</v>
      </c>
      <c r="M42" s="20">
        <f>E42/E43</f>
        <v>3.6956521739130439</v>
      </c>
      <c r="N42" s="21">
        <f>E42-H42*E43</f>
        <v>3.2000000000000011</v>
      </c>
      <c r="P42" s="5" t="str">
        <f>P37</f>
        <v>MinM</v>
      </c>
      <c r="Q42" s="49">
        <v>56</v>
      </c>
      <c r="R42" s="65">
        <f t="shared" si="199"/>
        <v>17</v>
      </c>
      <c r="S42" s="62">
        <v>1</v>
      </c>
      <c r="T42" s="52" t="str">
        <f t="shared" ref="T42:T71" si="220">R42&amp;" / "&amp;ROUNDDOWN(R43,2)&amp;" = "&amp;ROUND(R42/R43,2)</f>
        <v>17 / 4,6 = 3,7</v>
      </c>
      <c r="U42" s="58">
        <f t="shared" si="201"/>
        <v>3</v>
      </c>
      <c r="V42" s="46" t="str">
        <f t="shared" ref="V42" si="221">R42&amp;" - ("&amp;U42&amp;" x "&amp;ROUNDDOWN(R43,2)&amp;") = "&amp;ROUNDDOWN(R42-U42*R43,2)</f>
        <v>17 - (3 x 4,6) = 3,2</v>
      </c>
      <c r="W42" s="55">
        <f t="shared" ref="W42" si="222">IF(RANK(AA42,AA39:AA42)&lt;=W43,1,0)</f>
        <v>1</v>
      </c>
      <c r="X42" s="65">
        <f t="shared" si="204"/>
        <v>5</v>
      </c>
      <c r="Z42" s="20">
        <f>R42/R43</f>
        <v>3.6956521739130439</v>
      </c>
      <c r="AA42" s="21">
        <f>R42-U42*R43</f>
        <v>3.2000000000000011</v>
      </c>
    </row>
    <row r="43" spans="2:27" x14ac:dyDescent="0.25">
      <c r="B43" s="5" t="str">
        <f>B37</f>
        <v>MinM</v>
      </c>
      <c r="D43" s="3"/>
      <c r="E43" s="2">
        <f t="shared" ref="E43" si="223">SUM(E39:E42)/(F43-SUM(F39:F42))</f>
        <v>4.5999999999999996</v>
      </c>
      <c r="F43" s="1">
        <f>VLOOKUP(D37,'Calcul Places disponibles'!$D$8:$L$17,9,FALSE)</f>
        <v>24</v>
      </c>
      <c r="G43" s="2"/>
      <c r="H43" s="1">
        <f t="shared" si="59"/>
        <v>18</v>
      </c>
      <c r="I43" s="2"/>
      <c r="J43" s="1">
        <f t="shared" ref="J43" si="224">F43-SUM(F39:F42)-H43</f>
        <v>2</v>
      </c>
      <c r="K43" s="1"/>
      <c r="Q43" s="3"/>
      <c r="R43" s="2">
        <f t="shared" ref="R43" si="225">SUM(R39:R42)/(S43-SUM(S39:S42))</f>
        <v>4.5999999999999996</v>
      </c>
      <c r="S43" s="1">
        <f>VLOOKUP(Q37,'Calcul Places disponibles'!$D$8:$L$17,9,FALSE)</f>
        <v>24</v>
      </c>
      <c r="T43" s="2"/>
      <c r="U43" s="1">
        <f t="shared" ref="U43" si="226">SUM(U39:U42)</f>
        <v>18</v>
      </c>
      <c r="V43" s="2"/>
      <c r="W43" s="1">
        <f t="shared" ref="W43" si="227">S43-SUM(S39:S42)-U43</f>
        <v>2</v>
      </c>
      <c r="X43" s="1"/>
    </row>
    <row r="44" spans="2:27" ht="16.5" thickBot="1" x14ac:dyDescent="0.3">
      <c r="B44" s="5" t="s">
        <v>17</v>
      </c>
      <c r="D44" s="38" t="str">
        <f t="shared" ref="D44:D71" si="228">B44</f>
        <v>BenM</v>
      </c>
      <c r="E44" s="102" t="str">
        <f t="shared" ref="E44:E71" si="229">"Places : "&amp;F50</f>
        <v>Places : 24</v>
      </c>
      <c r="F44" s="102"/>
      <c r="G44" s="102" t="str">
        <f t="shared" ref="G44" si="230">"Quotient de Hare : Q = ("&amp;E46&amp;" + "&amp;E47&amp;" + "&amp;E48&amp;" + "&amp;E49&amp;") / ("&amp;F50&amp;" - "&amp;SUM(F46:F49)&amp;") = "&amp;SUM(E46:E49)&amp;" / "&amp;(F50 - SUM(F46:F49))&amp;" = "&amp;ROUNDDOWN(SUM(E46:E49)/(F50-SUM(F46:F49)),2)</f>
        <v>Quotient de Hare : Q = (23 + 25 + 43 + 30) / (24 - 4) = 121 / 20 = 6,05</v>
      </c>
      <c r="H44" s="102"/>
      <c r="I44" s="102"/>
      <c r="J44" s="102"/>
      <c r="K44" s="102"/>
      <c r="L44" s="39"/>
      <c r="M44" s="7"/>
      <c r="N44" s="7"/>
      <c r="P44" s="5" t="s">
        <v>17</v>
      </c>
      <c r="Q44" s="38" t="str">
        <f t="shared" ref="Q44" si="231">P44</f>
        <v>BenM</v>
      </c>
      <c r="R44" s="102" t="str">
        <f t="shared" ref="R44" si="232">"Places : "&amp;S50</f>
        <v>Places : 24</v>
      </c>
      <c r="S44" s="102"/>
      <c r="T44" s="102" t="str">
        <f t="shared" ref="T44" si="233">"Quotient de Hare : Q = ("&amp;R46&amp;" + "&amp;R47&amp;" + "&amp;R48&amp;" + "&amp;R49&amp;") / ("&amp;S50&amp;" - "&amp;SUM(S46:S49)&amp;") = "&amp;SUM(R46:R49)&amp;" / "&amp;(S50 - SUM(S46:S49))&amp;" = "&amp;ROUNDDOWN(SUM(R46:R49)/(S50-SUM(S46:S49)),2)</f>
        <v>Quotient de Hare : Q = (23 + 25 + 43 + 30) / (24 - 4) = 121 / 20 = 6,05</v>
      </c>
      <c r="U44" s="102"/>
      <c r="V44" s="102"/>
      <c r="W44" s="102"/>
      <c r="X44" s="102"/>
      <c r="Y44" s="39"/>
      <c r="Z44" s="7"/>
      <c r="AA44" s="7"/>
    </row>
    <row r="45" spans="2:27" ht="30.75" thickBot="1" x14ac:dyDescent="0.3">
      <c r="D45" s="40" t="s">
        <v>0</v>
      </c>
      <c r="E45" s="41" t="s">
        <v>26</v>
      </c>
      <c r="F45" s="42" t="s">
        <v>35</v>
      </c>
      <c r="G45" s="41" t="s">
        <v>2</v>
      </c>
      <c r="H45" s="42" t="s">
        <v>3</v>
      </c>
      <c r="I45" s="41" t="s">
        <v>1</v>
      </c>
      <c r="J45" s="42" t="s">
        <v>4</v>
      </c>
      <c r="K45" s="43" t="str">
        <f t="shared" si="27"/>
        <v>Places
(24)</v>
      </c>
      <c r="M45" s="19" t="s">
        <v>27</v>
      </c>
      <c r="N45" s="19" t="s">
        <v>1</v>
      </c>
      <c r="Q45" s="40" t="s">
        <v>0</v>
      </c>
      <c r="R45" s="41" t="s">
        <v>26</v>
      </c>
      <c r="S45" s="42" t="s">
        <v>35</v>
      </c>
      <c r="T45" s="41" t="s">
        <v>2</v>
      </c>
      <c r="U45" s="42" t="s">
        <v>3</v>
      </c>
      <c r="V45" s="41" t="s">
        <v>1</v>
      </c>
      <c r="W45" s="42" t="s">
        <v>4</v>
      </c>
      <c r="X45" s="43" t="str">
        <f t="shared" ref="X45" si="234">"Places
("&amp;SUM(X46:X49)&amp;")"</f>
        <v>Places
(24)</v>
      </c>
      <c r="Z45" s="19" t="s">
        <v>27</v>
      </c>
      <c r="AA45" s="19" t="s">
        <v>1</v>
      </c>
    </row>
    <row r="46" spans="2:27" x14ac:dyDescent="0.25">
      <c r="B46" s="5" t="str">
        <f>B44</f>
        <v>BenM</v>
      </c>
      <c r="D46" s="47">
        <v>22</v>
      </c>
      <c r="E46" s="63">
        <f>VLOOKUP(B46&amp;D46,'Calcul Effectifs Référence'!T:U,2,FALSE)</f>
        <v>23</v>
      </c>
      <c r="F46" s="60">
        <v>1</v>
      </c>
      <c r="G46" s="50" t="str">
        <f t="shared" ref="G46:G71" si="235">E46&amp;" / "&amp;ROUNDDOWN(E50,2)&amp;" = "&amp;ROUND(E46/E50,2)</f>
        <v>23 / 6,05 = 3,8</v>
      </c>
      <c r="H46" s="56">
        <f t="shared" ref="H46:H71" si="236">ROUNDDOWN(M46,0)</f>
        <v>3</v>
      </c>
      <c r="I46" s="45" t="str">
        <f t="shared" ref="I46:I71" si="237">E46&amp;" - ("&amp;H46&amp;" x "&amp;ROUNDDOWN(E50,2)&amp;") = "&amp;ROUNDDOWN(E46-H46*E50,2)</f>
        <v>23 - (3 x 6,05) = 4,85</v>
      </c>
      <c r="J46" s="53">
        <f t="shared" ref="J46" si="238">IF(RANK(N46,N46:N49)&lt;=J50,1,0)</f>
        <v>1</v>
      </c>
      <c r="K46" s="66">
        <f t="shared" ref="K46:K71" si="239">MAX(2,F46+H46+J46)</f>
        <v>5</v>
      </c>
      <c r="M46" s="20">
        <f>E46/E50</f>
        <v>3.8016528925619837</v>
      </c>
      <c r="N46" s="21">
        <f>E46-H46*E50</f>
        <v>4.8500000000000014</v>
      </c>
      <c r="P46" s="5" t="str">
        <f>P44</f>
        <v>BenM</v>
      </c>
      <c r="Q46" s="47">
        <v>22</v>
      </c>
      <c r="R46" s="63">
        <f t="shared" ref="R46:R71" si="240">E46</f>
        <v>23</v>
      </c>
      <c r="S46" s="60">
        <v>1</v>
      </c>
      <c r="T46" s="50" t="str">
        <f t="shared" ref="T46" si="241">R46&amp;" / "&amp;ROUNDDOWN(R50,2)&amp;" = "&amp;ROUND(R46/R50,2)</f>
        <v>23 / 6,05 = 3,8</v>
      </c>
      <c r="U46" s="56">
        <f t="shared" ref="U46:U71" si="242">ROUNDDOWN(Z46,0)</f>
        <v>3</v>
      </c>
      <c r="V46" s="45" t="str">
        <f t="shared" ref="V46" si="243">R46&amp;" - ("&amp;U46&amp;" x "&amp;ROUNDDOWN(R50,2)&amp;") = "&amp;ROUNDDOWN(R46-U46*R50,2)</f>
        <v>23 - (3 x 6,05) = 4,85</v>
      </c>
      <c r="W46" s="53">
        <f t="shared" ref="W46" si="244">IF(RANK(AA46,AA46:AA49)&lt;=W50,1,0)</f>
        <v>1</v>
      </c>
      <c r="X46" s="66">
        <f t="shared" ref="X46:X49" si="245">S46+U46+W46</f>
        <v>5</v>
      </c>
      <c r="Z46" s="20">
        <f>R46/R50</f>
        <v>3.8016528925619837</v>
      </c>
      <c r="AA46" s="21">
        <f>R46-U46*R50</f>
        <v>4.8500000000000014</v>
      </c>
    </row>
    <row r="47" spans="2:27" x14ac:dyDescent="0.25">
      <c r="B47" s="5" t="str">
        <f>B44</f>
        <v>BenM</v>
      </c>
      <c r="D47" s="48">
        <v>29</v>
      </c>
      <c r="E47" s="64">
        <f>VLOOKUP(B47&amp;D47,'Calcul Effectifs Référence'!T:U,2,FALSE)</f>
        <v>25</v>
      </c>
      <c r="F47" s="61">
        <v>1</v>
      </c>
      <c r="G47" s="51" t="str">
        <f t="shared" ref="G47:G71" si="246">E47&amp;" / "&amp;ROUNDDOWN(E50,2)&amp;" = "&amp;ROUND(E47/E50,2)</f>
        <v>25 / 6,05 = 4,13</v>
      </c>
      <c r="H47" s="57">
        <f t="shared" si="236"/>
        <v>4</v>
      </c>
      <c r="I47" s="44" t="str">
        <f t="shared" ref="I47:I71" si="247">E47&amp;" - ("&amp;H47&amp;" x "&amp;ROUNDDOWN(E50,2)&amp;") = "&amp;ROUNDDOWN(E47-H47*E50,2)</f>
        <v>25 - (4 x 6,05) = 0,8</v>
      </c>
      <c r="J47" s="54">
        <f t="shared" ref="J47" si="248">IF(RANK(N47,N46:N49)&lt;=J50,1,0)</f>
        <v>0</v>
      </c>
      <c r="K47" s="64">
        <f t="shared" si="239"/>
        <v>5</v>
      </c>
      <c r="M47" s="20">
        <f>E47/E50</f>
        <v>4.1322314049586781</v>
      </c>
      <c r="N47" s="21">
        <f>E47-H47*E50</f>
        <v>0.80000000000000071</v>
      </c>
      <c r="P47" s="5" t="str">
        <f>P44</f>
        <v>BenM</v>
      </c>
      <c r="Q47" s="48">
        <v>29</v>
      </c>
      <c r="R47" s="64">
        <f t="shared" si="240"/>
        <v>25</v>
      </c>
      <c r="S47" s="61">
        <v>1</v>
      </c>
      <c r="T47" s="51" t="str">
        <f t="shared" ref="T47" si="249">R47&amp;" / "&amp;ROUNDDOWN(R50,2)&amp;" = "&amp;ROUND(R47/R50,2)</f>
        <v>25 / 6,05 = 4,13</v>
      </c>
      <c r="U47" s="57">
        <f t="shared" si="242"/>
        <v>4</v>
      </c>
      <c r="V47" s="44" t="str">
        <f t="shared" ref="V47" si="250">R47&amp;" - ("&amp;U47&amp;" x "&amp;ROUNDDOWN(R50,2)&amp;") = "&amp;ROUNDDOWN(R47-U47*R50,2)</f>
        <v>25 - (4 x 6,05) = 0,8</v>
      </c>
      <c r="W47" s="54">
        <f t="shared" ref="W47" si="251">IF(RANK(AA47,AA46:AA49)&lt;=W50,1,0)</f>
        <v>0</v>
      </c>
      <c r="X47" s="64">
        <f t="shared" si="245"/>
        <v>5</v>
      </c>
      <c r="Z47" s="20">
        <f>R47/R50</f>
        <v>4.1322314049586781</v>
      </c>
      <c r="AA47" s="21">
        <f>R47-U47*R50</f>
        <v>0.80000000000000071</v>
      </c>
    </row>
    <row r="48" spans="2:27" x14ac:dyDescent="0.25">
      <c r="B48" s="5" t="str">
        <f>B44</f>
        <v>BenM</v>
      </c>
      <c r="D48" s="48">
        <v>35</v>
      </c>
      <c r="E48" s="64">
        <f>VLOOKUP(B48&amp;D48,'Calcul Effectifs Référence'!T:U,2,FALSE)</f>
        <v>43</v>
      </c>
      <c r="F48" s="61">
        <v>1</v>
      </c>
      <c r="G48" s="51" t="str">
        <f t="shared" ref="G48:G71" si="252">E48&amp;" / "&amp;ROUNDDOWN(E50,2)&amp;" = "&amp;ROUND(E48/E50,2)</f>
        <v>43 / 6,05 = 7,11</v>
      </c>
      <c r="H48" s="57">
        <f t="shared" si="236"/>
        <v>7</v>
      </c>
      <c r="I48" s="44" t="str">
        <f t="shared" ref="I48:I71" si="253">E48&amp;" - ("&amp;H48&amp;" x "&amp;ROUNDDOWN(E50,2)&amp;") = "&amp;ROUNDDOWN(E48-H48*E50,2)</f>
        <v>43 - (7 x 6,05) = 0,64</v>
      </c>
      <c r="J48" s="54">
        <f t="shared" ref="J48" si="254">IF(RANK(N48,N46:N49)&lt;=J50,1,0)</f>
        <v>0</v>
      </c>
      <c r="K48" s="64">
        <f t="shared" si="239"/>
        <v>8</v>
      </c>
      <c r="M48" s="20">
        <f>E48/E50</f>
        <v>7.1074380165289259</v>
      </c>
      <c r="N48" s="21">
        <f>E48-H48*E50</f>
        <v>0.64999999999999858</v>
      </c>
      <c r="P48" s="5" t="str">
        <f>P44</f>
        <v>BenM</v>
      </c>
      <c r="Q48" s="48">
        <v>35</v>
      </c>
      <c r="R48" s="64">
        <f t="shared" si="240"/>
        <v>43</v>
      </c>
      <c r="S48" s="61">
        <v>1</v>
      </c>
      <c r="T48" s="51" t="str">
        <f t="shared" ref="T48" si="255">R48&amp;" / "&amp;ROUNDDOWN(R50,2)&amp;" = "&amp;ROUND(R48/R50,2)</f>
        <v>43 / 6,05 = 7,11</v>
      </c>
      <c r="U48" s="57">
        <f t="shared" si="242"/>
        <v>7</v>
      </c>
      <c r="V48" s="44" t="str">
        <f t="shared" ref="V48" si="256">R48&amp;" - ("&amp;U48&amp;" x "&amp;ROUNDDOWN(R50,2)&amp;") = "&amp;ROUNDDOWN(R48-U48*R50,2)</f>
        <v>43 - (7 x 6,05) = 0,64</v>
      </c>
      <c r="W48" s="54">
        <f t="shared" ref="W48" si="257">IF(RANK(AA48,AA46:AA49)&lt;=W50,1,0)</f>
        <v>0</v>
      </c>
      <c r="X48" s="64">
        <f t="shared" si="245"/>
        <v>8</v>
      </c>
      <c r="Z48" s="20">
        <f>R48/R50</f>
        <v>7.1074380165289259</v>
      </c>
      <c r="AA48" s="21">
        <f>R48-U48*R50</f>
        <v>0.64999999999999858</v>
      </c>
    </row>
    <row r="49" spans="2:27" ht="15.75" thickBot="1" x14ac:dyDescent="0.3">
      <c r="B49" s="5" t="str">
        <f>B44</f>
        <v>BenM</v>
      </c>
      <c r="D49" s="49">
        <v>56</v>
      </c>
      <c r="E49" s="65">
        <f>VLOOKUP(B49&amp;D49,'Calcul Effectifs Référence'!T:U,2,FALSE)</f>
        <v>30</v>
      </c>
      <c r="F49" s="62">
        <v>1</v>
      </c>
      <c r="G49" s="52" t="str">
        <f t="shared" ref="G49:G71" si="258">E49&amp;" / "&amp;ROUNDDOWN(E50,2)&amp;" = "&amp;ROUND(E49/E50,2)</f>
        <v>30 / 6,05 = 4,96</v>
      </c>
      <c r="H49" s="58">
        <f t="shared" si="236"/>
        <v>4</v>
      </c>
      <c r="I49" s="46" t="str">
        <f t="shared" ref="I49:I71" si="259">E49&amp;" - ("&amp;H49&amp;" x "&amp;ROUNDDOWN(E50,2)&amp;") = "&amp;ROUNDDOWN(E49-H49*E50,2)</f>
        <v>30 - (4 x 6,05) = 5,8</v>
      </c>
      <c r="J49" s="55">
        <f t="shared" ref="J49:J71" si="260">IF(RANK(N49,N46:N49)&lt;=J50,1,0)</f>
        <v>1</v>
      </c>
      <c r="K49" s="65">
        <f t="shared" si="239"/>
        <v>6</v>
      </c>
      <c r="M49" s="20">
        <f>E49/E50</f>
        <v>4.9586776859504136</v>
      </c>
      <c r="N49" s="21">
        <f>E49-H49*E50</f>
        <v>5.8000000000000007</v>
      </c>
      <c r="P49" s="5" t="str">
        <f>P44</f>
        <v>BenM</v>
      </c>
      <c r="Q49" s="49">
        <v>56</v>
      </c>
      <c r="R49" s="65">
        <f t="shared" si="240"/>
        <v>30</v>
      </c>
      <c r="S49" s="62">
        <v>1</v>
      </c>
      <c r="T49" s="52" t="str">
        <f t="shared" ref="T49:T71" si="261">R49&amp;" / "&amp;ROUNDDOWN(R50,2)&amp;" = "&amp;ROUND(R49/R50,2)</f>
        <v>30 / 6,05 = 4,96</v>
      </c>
      <c r="U49" s="58">
        <f t="shared" si="242"/>
        <v>4</v>
      </c>
      <c r="V49" s="46" t="str">
        <f t="shared" ref="V49" si="262">R49&amp;" - ("&amp;U49&amp;" x "&amp;ROUNDDOWN(R50,2)&amp;") = "&amp;ROUNDDOWN(R49-U49*R50,2)</f>
        <v>30 - (4 x 6,05) = 5,8</v>
      </c>
      <c r="W49" s="55">
        <f t="shared" ref="W49" si="263">IF(RANK(AA49,AA46:AA49)&lt;=W50,1,0)</f>
        <v>1</v>
      </c>
      <c r="X49" s="65">
        <f t="shared" si="245"/>
        <v>6</v>
      </c>
      <c r="Z49" s="20">
        <f>R49/R50</f>
        <v>4.9586776859504136</v>
      </c>
      <c r="AA49" s="21">
        <f>R49-U49*R50</f>
        <v>5.8000000000000007</v>
      </c>
    </row>
    <row r="50" spans="2:27" x14ac:dyDescent="0.25">
      <c r="B50" s="5" t="str">
        <f>B44</f>
        <v>BenM</v>
      </c>
      <c r="D50" s="3"/>
      <c r="E50" s="2">
        <f t="shared" ref="E50" si="264">SUM(E46:E49)/(F50-SUM(F46:F49))</f>
        <v>6.05</v>
      </c>
      <c r="F50" s="1">
        <f>VLOOKUP(D44,'Calcul Places disponibles'!$D$8:$L$17,9,FALSE)</f>
        <v>24</v>
      </c>
      <c r="G50" s="2"/>
      <c r="H50" s="1">
        <f t="shared" si="59"/>
        <v>18</v>
      </c>
      <c r="I50" s="2"/>
      <c r="J50" s="1">
        <f t="shared" ref="J50" si="265">F50-SUM(F46:F49)-H50</f>
        <v>2</v>
      </c>
      <c r="K50" s="1"/>
      <c r="Q50" s="3"/>
      <c r="R50" s="2">
        <f t="shared" ref="R50" si="266">SUM(R46:R49)/(S50-SUM(S46:S49))</f>
        <v>6.05</v>
      </c>
      <c r="S50" s="1">
        <f>VLOOKUP(Q44,'Calcul Places disponibles'!$D$8:$L$17,9,FALSE)</f>
        <v>24</v>
      </c>
      <c r="T50" s="2"/>
      <c r="U50" s="1">
        <f t="shared" ref="U50" si="267">SUM(U46:U49)</f>
        <v>18</v>
      </c>
      <c r="V50" s="2"/>
      <c r="W50" s="1">
        <f t="shared" ref="W50" si="268">S50-SUM(S46:S49)-U50</f>
        <v>2</v>
      </c>
      <c r="X50" s="1"/>
    </row>
    <row r="51" spans="2:27" ht="16.5" thickBot="1" x14ac:dyDescent="0.3">
      <c r="B51" s="5" t="s">
        <v>18</v>
      </c>
      <c r="D51" s="38" t="str">
        <f t="shared" ref="D51:D71" si="269">B51</f>
        <v>PupM</v>
      </c>
      <c r="E51" s="102" t="str">
        <f t="shared" ref="E51:E71" si="270">"Places : "&amp;F57</f>
        <v>Places : 24</v>
      </c>
      <c r="F51" s="102"/>
      <c r="G51" s="102" t="str">
        <f t="shared" ref="G51" si="271">"Quotient de Hare : Q = ("&amp;E53&amp;" + "&amp;E54&amp;" + "&amp;E55&amp;" + "&amp;E56&amp;") / ("&amp;F57&amp;" - "&amp;SUM(F53:F56)&amp;") = "&amp;SUM(E53:E56)&amp;" / "&amp;(F57 - SUM(F53:F56))&amp;" = "&amp;ROUNDDOWN(SUM(E53:E56)/(F57-SUM(F53:F56)),2)</f>
        <v>Quotient de Hare : Q = (20 + 31 + 65 + 49) / (24 - 4) = 165 / 20 = 8,25</v>
      </c>
      <c r="H51" s="102"/>
      <c r="I51" s="102"/>
      <c r="J51" s="102"/>
      <c r="K51" s="102"/>
      <c r="L51" s="39"/>
      <c r="M51" s="7"/>
      <c r="N51" s="7"/>
      <c r="P51" s="5" t="s">
        <v>18</v>
      </c>
      <c r="Q51" s="38" t="str">
        <f t="shared" ref="Q51" si="272">P51</f>
        <v>PupM</v>
      </c>
      <c r="R51" s="102" t="str">
        <f t="shared" ref="R51" si="273">"Places : "&amp;S57</f>
        <v>Places : 24</v>
      </c>
      <c r="S51" s="102"/>
      <c r="T51" s="102" t="str">
        <f t="shared" ref="T51" si="274">"Quotient de Hare : Q = ("&amp;R53&amp;" + "&amp;R54&amp;" + "&amp;R55&amp;" + "&amp;R56&amp;") / ("&amp;S57&amp;" - "&amp;SUM(S53:S56)&amp;") = "&amp;SUM(R53:R56)&amp;" / "&amp;(S57 - SUM(S53:S56))&amp;" = "&amp;ROUNDDOWN(SUM(R53:R56)/(S57-SUM(S53:S56)),2)</f>
        <v>Quotient de Hare : Q = (20 + 31 + 65 + 49) / (24 - 4) = 165 / 20 = 8,25</v>
      </c>
      <c r="U51" s="102"/>
      <c r="V51" s="102"/>
      <c r="W51" s="102"/>
      <c r="X51" s="102"/>
      <c r="Y51" s="39"/>
      <c r="Z51" s="7"/>
      <c r="AA51" s="7"/>
    </row>
    <row r="52" spans="2:27" ht="30.75" thickBot="1" x14ac:dyDescent="0.3">
      <c r="D52" s="40" t="s">
        <v>0</v>
      </c>
      <c r="E52" s="41" t="s">
        <v>26</v>
      </c>
      <c r="F52" s="42" t="s">
        <v>35</v>
      </c>
      <c r="G52" s="41" t="s">
        <v>2</v>
      </c>
      <c r="H52" s="42" t="s">
        <v>3</v>
      </c>
      <c r="I52" s="41" t="s">
        <v>1</v>
      </c>
      <c r="J52" s="42" t="s">
        <v>4</v>
      </c>
      <c r="K52" s="43" t="str">
        <f t="shared" si="27"/>
        <v>Places
(24)</v>
      </c>
      <c r="M52" s="19" t="s">
        <v>27</v>
      </c>
      <c r="N52" s="19" t="s">
        <v>1</v>
      </c>
      <c r="Q52" s="40" t="s">
        <v>0</v>
      </c>
      <c r="R52" s="41" t="s">
        <v>26</v>
      </c>
      <c r="S52" s="42" t="s">
        <v>35</v>
      </c>
      <c r="T52" s="41" t="s">
        <v>2</v>
      </c>
      <c r="U52" s="42" t="s">
        <v>3</v>
      </c>
      <c r="V52" s="41" t="s">
        <v>1</v>
      </c>
      <c r="W52" s="42" t="s">
        <v>4</v>
      </c>
      <c r="X52" s="43" t="str">
        <f t="shared" ref="X52" si="275">"Places
("&amp;SUM(X53:X56)&amp;")"</f>
        <v>Places
(24)</v>
      </c>
      <c r="Z52" s="19" t="s">
        <v>27</v>
      </c>
      <c r="AA52" s="19" t="s">
        <v>1</v>
      </c>
    </row>
    <row r="53" spans="2:27" x14ac:dyDescent="0.25">
      <c r="B53" s="5" t="str">
        <f>B51</f>
        <v>PupM</v>
      </c>
      <c r="D53" s="47">
        <v>22</v>
      </c>
      <c r="E53" s="63">
        <f>VLOOKUP(B53&amp;D53,'Calcul Effectifs Référence'!T:U,2,FALSE)</f>
        <v>20</v>
      </c>
      <c r="F53" s="60">
        <v>1</v>
      </c>
      <c r="G53" s="50" t="str">
        <f t="shared" ref="G53:G71" si="276">E53&amp;" / "&amp;ROUNDDOWN(E57,2)&amp;" = "&amp;ROUND(E53/E57,2)</f>
        <v>20 / 8,25 = 2,42</v>
      </c>
      <c r="H53" s="56">
        <f t="shared" ref="H53:H71" si="277">ROUNDDOWN(M53,0)</f>
        <v>2</v>
      </c>
      <c r="I53" s="45" t="str">
        <f t="shared" ref="I53:I71" si="278">E53&amp;" - ("&amp;H53&amp;" x "&amp;ROUNDDOWN(E57,2)&amp;") = "&amp;ROUNDDOWN(E53-H53*E57,2)</f>
        <v>20 - (2 x 8,25) = 3,5</v>
      </c>
      <c r="J53" s="53">
        <f t="shared" ref="J53" si="279">IF(RANK(N53,N53:N56)&lt;=J57,1,0)</f>
        <v>0</v>
      </c>
      <c r="K53" s="66">
        <f t="shared" ref="K53:K71" si="280">MAX(2,F53+H53+J53)</f>
        <v>3</v>
      </c>
      <c r="M53" s="20">
        <f>E53/E57</f>
        <v>2.4242424242424243</v>
      </c>
      <c r="N53" s="21">
        <f>E53-H53*E57</f>
        <v>3.5</v>
      </c>
      <c r="P53" s="5" t="str">
        <f>P51</f>
        <v>PupM</v>
      </c>
      <c r="Q53" s="47">
        <v>22</v>
      </c>
      <c r="R53" s="63">
        <f t="shared" ref="R53:R71" si="281">E53</f>
        <v>20</v>
      </c>
      <c r="S53" s="60">
        <v>1</v>
      </c>
      <c r="T53" s="50" t="str">
        <f t="shared" ref="T53" si="282">R53&amp;" / "&amp;ROUNDDOWN(R57,2)&amp;" = "&amp;ROUND(R53/R57,2)</f>
        <v>20 / 8,25 = 2,42</v>
      </c>
      <c r="U53" s="56">
        <f t="shared" ref="U53:U71" si="283">ROUNDDOWN(Z53,0)</f>
        <v>2</v>
      </c>
      <c r="V53" s="45" t="str">
        <f t="shared" ref="V53" si="284">R53&amp;" - ("&amp;U53&amp;" x "&amp;ROUNDDOWN(R57,2)&amp;") = "&amp;ROUNDDOWN(R53-U53*R57,2)</f>
        <v>20 - (2 x 8,25) = 3,5</v>
      </c>
      <c r="W53" s="53">
        <f t="shared" ref="W53" si="285">IF(RANK(AA53,AA53:AA56)&lt;=W57,1,0)</f>
        <v>0</v>
      </c>
      <c r="X53" s="66">
        <f t="shared" ref="X53:X56" si="286">S53+U53+W53</f>
        <v>3</v>
      </c>
      <c r="Z53" s="20">
        <f>R53/R57</f>
        <v>2.4242424242424243</v>
      </c>
      <c r="AA53" s="21">
        <f>R53-U53*R57</f>
        <v>3.5</v>
      </c>
    </row>
    <row r="54" spans="2:27" x14ac:dyDescent="0.25">
      <c r="B54" s="5" t="str">
        <f>B51</f>
        <v>PupM</v>
      </c>
      <c r="D54" s="48">
        <v>29</v>
      </c>
      <c r="E54" s="64">
        <f>VLOOKUP(B54&amp;D54,'Calcul Effectifs Référence'!T:U,2,FALSE)</f>
        <v>31</v>
      </c>
      <c r="F54" s="61">
        <v>1</v>
      </c>
      <c r="G54" s="51" t="str">
        <f t="shared" ref="G54:G71" si="287">E54&amp;" / "&amp;ROUNDDOWN(E57,2)&amp;" = "&amp;ROUND(E54/E57,2)</f>
        <v>31 / 8,25 = 3,76</v>
      </c>
      <c r="H54" s="57">
        <f t="shared" si="277"/>
        <v>3</v>
      </c>
      <c r="I54" s="44" t="str">
        <f t="shared" ref="I54:I71" si="288">E54&amp;" - ("&amp;H54&amp;" x "&amp;ROUNDDOWN(E57,2)&amp;") = "&amp;ROUNDDOWN(E54-H54*E57,2)</f>
        <v>31 - (3 x 8,25) = 6,25</v>
      </c>
      <c r="J54" s="54">
        <f t="shared" ref="J54" si="289">IF(RANK(N54,N53:N56)&lt;=J57,1,0)</f>
        <v>1</v>
      </c>
      <c r="K54" s="64">
        <f t="shared" si="280"/>
        <v>5</v>
      </c>
      <c r="M54" s="20">
        <f>E54/E57</f>
        <v>3.7575757575757578</v>
      </c>
      <c r="N54" s="21">
        <f>E54-H54*E57</f>
        <v>6.25</v>
      </c>
      <c r="P54" s="5" t="str">
        <f>P51</f>
        <v>PupM</v>
      </c>
      <c r="Q54" s="48">
        <v>29</v>
      </c>
      <c r="R54" s="64">
        <f t="shared" si="281"/>
        <v>31</v>
      </c>
      <c r="S54" s="61">
        <v>1</v>
      </c>
      <c r="T54" s="51" t="str">
        <f t="shared" ref="T54" si="290">R54&amp;" / "&amp;ROUNDDOWN(R57,2)&amp;" = "&amp;ROUND(R54/R57,2)</f>
        <v>31 / 8,25 = 3,76</v>
      </c>
      <c r="U54" s="57">
        <f t="shared" si="283"/>
        <v>3</v>
      </c>
      <c r="V54" s="44" t="str">
        <f t="shared" ref="V54" si="291">R54&amp;" - ("&amp;U54&amp;" x "&amp;ROUNDDOWN(R57,2)&amp;") = "&amp;ROUNDDOWN(R54-U54*R57,2)</f>
        <v>31 - (3 x 8,25) = 6,25</v>
      </c>
      <c r="W54" s="54">
        <f t="shared" ref="W54" si="292">IF(RANK(AA54,AA53:AA56)&lt;=W57,1,0)</f>
        <v>1</v>
      </c>
      <c r="X54" s="64">
        <f t="shared" si="286"/>
        <v>5</v>
      </c>
      <c r="Z54" s="20">
        <f>R54/R57</f>
        <v>3.7575757575757578</v>
      </c>
      <c r="AA54" s="21">
        <f>R54-U54*R57</f>
        <v>6.25</v>
      </c>
    </row>
    <row r="55" spans="2:27" x14ac:dyDescent="0.25">
      <c r="B55" s="5" t="str">
        <f>B51</f>
        <v>PupM</v>
      </c>
      <c r="D55" s="48">
        <v>35</v>
      </c>
      <c r="E55" s="64">
        <f>VLOOKUP(B55&amp;D55,'Calcul Effectifs Référence'!T:U,2,FALSE)</f>
        <v>65</v>
      </c>
      <c r="F55" s="61">
        <v>1</v>
      </c>
      <c r="G55" s="51" t="str">
        <f t="shared" ref="G55:G71" si="293">E55&amp;" / "&amp;ROUNDDOWN(E57,2)&amp;" = "&amp;ROUND(E55/E57,2)</f>
        <v>65 / 8,25 = 7,88</v>
      </c>
      <c r="H55" s="57">
        <f t="shared" si="277"/>
        <v>7</v>
      </c>
      <c r="I55" s="44" t="str">
        <f t="shared" ref="I55:I71" si="294">E55&amp;" - ("&amp;H55&amp;" x "&amp;ROUNDDOWN(E57,2)&amp;") = "&amp;ROUNDDOWN(E55-H55*E57,2)</f>
        <v>65 - (7 x 8,25) = 7,25</v>
      </c>
      <c r="J55" s="54">
        <f t="shared" ref="J55" si="295">IF(RANK(N55,N53:N56)&lt;=J57,1,0)</f>
        <v>1</v>
      </c>
      <c r="K55" s="64">
        <f t="shared" si="280"/>
        <v>9</v>
      </c>
      <c r="M55" s="20">
        <f>E55/E57</f>
        <v>7.8787878787878789</v>
      </c>
      <c r="N55" s="21">
        <f>E55-H55*E57</f>
        <v>7.25</v>
      </c>
      <c r="P55" s="5" t="str">
        <f>P51</f>
        <v>PupM</v>
      </c>
      <c r="Q55" s="48">
        <v>35</v>
      </c>
      <c r="R55" s="64">
        <f t="shared" si="281"/>
        <v>65</v>
      </c>
      <c r="S55" s="61">
        <v>1</v>
      </c>
      <c r="T55" s="51" t="str">
        <f t="shared" ref="T55" si="296">R55&amp;" / "&amp;ROUNDDOWN(R57,2)&amp;" = "&amp;ROUND(R55/R57,2)</f>
        <v>65 / 8,25 = 7,88</v>
      </c>
      <c r="U55" s="57">
        <f t="shared" si="283"/>
        <v>7</v>
      </c>
      <c r="V55" s="44" t="str">
        <f t="shared" ref="V55" si="297">R55&amp;" - ("&amp;U55&amp;" x "&amp;ROUNDDOWN(R57,2)&amp;") = "&amp;ROUNDDOWN(R55-U55*R57,2)</f>
        <v>65 - (7 x 8,25) = 7,25</v>
      </c>
      <c r="W55" s="54">
        <f t="shared" ref="W55" si="298">IF(RANK(AA55,AA53:AA56)&lt;=W57,1,0)</f>
        <v>1</v>
      </c>
      <c r="X55" s="64">
        <f t="shared" si="286"/>
        <v>9</v>
      </c>
      <c r="Z55" s="20">
        <f>R55/R57</f>
        <v>7.8787878787878789</v>
      </c>
      <c r="AA55" s="21">
        <f>R55-U55*R57</f>
        <v>7.25</v>
      </c>
    </row>
    <row r="56" spans="2:27" ht="15.75" thickBot="1" x14ac:dyDescent="0.3">
      <c r="B56" s="5" t="str">
        <f>B51</f>
        <v>PupM</v>
      </c>
      <c r="D56" s="49">
        <v>56</v>
      </c>
      <c r="E56" s="65">
        <f>VLOOKUP(B56&amp;D56,'Calcul Effectifs Référence'!T:U,2,FALSE)</f>
        <v>49</v>
      </c>
      <c r="F56" s="62">
        <v>1</v>
      </c>
      <c r="G56" s="52" t="str">
        <f t="shared" ref="G56:G71" si="299">E56&amp;" / "&amp;ROUNDDOWN(E57,2)&amp;" = "&amp;ROUND(E56/E57,2)</f>
        <v>49 / 8,25 = 5,94</v>
      </c>
      <c r="H56" s="58">
        <f t="shared" si="277"/>
        <v>5</v>
      </c>
      <c r="I56" s="46" t="str">
        <f t="shared" ref="I56:I71" si="300">E56&amp;" - ("&amp;H56&amp;" x "&amp;ROUNDDOWN(E57,2)&amp;") = "&amp;ROUNDDOWN(E56-H56*E57,2)</f>
        <v>49 - (5 x 8,25) = 7,75</v>
      </c>
      <c r="J56" s="55">
        <f t="shared" ref="J56:J71" si="301">IF(RANK(N56,N53:N56)&lt;=J57,1,0)</f>
        <v>1</v>
      </c>
      <c r="K56" s="65">
        <f t="shared" si="280"/>
        <v>7</v>
      </c>
      <c r="M56" s="20">
        <f>E56/E57</f>
        <v>5.9393939393939394</v>
      </c>
      <c r="N56" s="21">
        <f>E56-H56*E57</f>
        <v>7.75</v>
      </c>
      <c r="P56" s="5" t="str">
        <f>P51</f>
        <v>PupM</v>
      </c>
      <c r="Q56" s="49">
        <v>56</v>
      </c>
      <c r="R56" s="65">
        <f t="shared" si="281"/>
        <v>49</v>
      </c>
      <c r="S56" s="62">
        <v>1</v>
      </c>
      <c r="T56" s="52" t="str">
        <f t="shared" ref="T56:T71" si="302">R56&amp;" / "&amp;ROUNDDOWN(R57,2)&amp;" = "&amp;ROUND(R56/R57,2)</f>
        <v>49 / 8,25 = 5,94</v>
      </c>
      <c r="U56" s="58">
        <f t="shared" si="283"/>
        <v>5</v>
      </c>
      <c r="V56" s="46" t="str">
        <f t="shared" ref="V56" si="303">R56&amp;" - ("&amp;U56&amp;" x "&amp;ROUNDDOWN(R57,2)&amp;") = "&amp;ROUNDDOWN(R56-U56*R57,2)</f>
        <v>49 - (5 x 8,25) = 7,75</v>
      </c>
      <c r="W56" s="55">
        <f t="shared" ref="W56" si="304">IF(RANK(AA56,AA53:AA56)&lt;=W57,1,0)</f>
        <v>1</v>
      </c>
      <c r="X56" s="65">
        <f t="shared" si="286"/>
        <v>7</v>
      </c>
      <c r="Z56" s="20">
        <f>R56/R57</f>
        <v>5.9393939393939394</v>
      </c>
      <c r="AA56" s="21">
        <f>R56-U56*R57</f>
        <v>7.75</v>
      </c>
    </row>
    <row r="57" spans="2:27" x14ac:dyDescent="0.25">
      <c r="B57" s="5" t="str">
        <f>B51</f>
        <v>PupM</v>
      </c>
      <c r="D57" s="3"/>
      <c r="E57" s="2">
        <f t="shared" ref="E57" si="305">SUM(E53:E56)/(F57-SUM(F53:F56))</f>
        <v>8.25</v>
      </c>
      <c r="F57" s="1">
        <f>VLOOKUP(D51,'Calcul Places disponibles'!$D$8:$L$17,9,FALSE)</f>
        <v>24</v>
      </c>
      <c r="G57" s="2"/>
      <c r="H57" s="1">
        <f t="shared" si="59"/>
        <v>17</v>
      </c>
      <c r="I57" s="2"/>
      <c r="J57" s="1">
        <f t="shared" ref="J57" si="306">F57-SUM(F53:F56)-H57</f>
        <v>3</v>
      </c>
      <c r="K57" s="1"/>
      <c r="Q57" s="3"/>
      <c r="R57" s="2">
        <f t="shared" ref="R57" si="307">SUM(R53:R56)/(S57-SUM(S53:S56))</f>
        <v>8.25</v>
      </c>
      <c r="S57" s="1">
        <f>VLOOKUP(Q51,'Calcul Places disponibles'!$D$8:$L$17,9,FALSE)</f>
        <v>24</v>
      </c>
      <c r="T57" s="2"/>
      <c r="U57" s="1">
        <f t="shared" ref="U57" si="308">SUM(U53:U56)</f>
        <v>17</v>
      </c>
      <c r="V57" s="2"/>
      <c r="W57" s="1">
        <f t="shared" ref="W57" si="309">S57-SUM(S53:S56)-U57</f>
        <v>3</v>
      </c>
      <c r="X57" s="1"/>
    </row>
    <row r="58" spans="2:27" ht="16.5" thickBot="1" x14ac:dyDescent="0.3">
      <c r="B58" s="5" t="s">
        <v>24</v>
      </c>
      <c r="D58" s="38" t="str">
        <f t="shared" ref="D58:D71" si="310">B58</f>
        <v>PouM</v>
      </c>
      <c r="E58" s="102" t="str">
        <f t="shared" ref="E58:E71" si="311">"Places : "&amp;F64</f>
        <v>Places : 21</v>
      </c>
      <c r="F58" s="102"/>
      <c r="G58" s="102" t="str">
        <f t="shared" ref="G58" si="312">"Quotient de Hare : Q = ("&amp;E60&amp;" + "&amp;E61&amp;" + "&amp;E62&amp;" + "&amp;E63&amp;") / ("&amp;F64&amp;" - "&amp;SUM(F60:F63)&amp;") = "&amp;SUM(E60:E63)&amp;" / "&amp;(F64 - SUM(F60:F63))&amp;" = "&amp;ROUNDDOWN(SUM(E60:E63)/(F64-SUM(F60:F63)),2)</f>
        <v>Quotient de Hare : Q = (15 + 13 + 41 + 34) / (21 - 4) = 103 / 17 = 6,05</v>
      </c>
      <c r="H58" s="102"/>
      <c r="I58" s="102"/>
      <c r="J58" s="102"/>
      <c r="K58" s="102"/>
      <c r="L58" s="39"/>
      <c r="M58" s="7"/>
      <c r="N58" s="7"/>
      <c r="P58" s="5" t="s">
        <v>24</v>
      </c>
      <c r="Q58" s="38" t="str">
        <f t="shared" ref="Q58" si="313">P58</f>
        <v>PouM</v>
      </c>
      <c r="R58" s="102" t="str">
        <f t="shared" ref="R58" si="314">"Places : "&amp;S64</f>
        <v>Places : 21</v>
      </c>
      <c r="S58" s="102"/>
      <c r="T58" s="102" t="str">
        <f t="shared" ref="T58" si="315">"Quotient de Hare : Q = ("&amp;R60&amp;" + "&amp;R61&amp;" + "&amp;R62&amp;" + "&amp;R63&amp;") / ("&amp;S64&amp;" - "&amp;SUM(S60:S63)&amp;") = "&amp;SUM(R60:R63)&amp;" / "&amp;(S64 - SUM(S60:S63))&amp;" = "&amp;ROUNDDOWN(SUM(R60:R63)/(S64-SUM(S60:S63)),2)</f>
        <v>Quotient de Hare : Q = (15 + 13 + 41 + 34) / (21 - 4) = 103 / 17 = 6,05</v>
      </c>
      <c r="U58" s="102"/>
      <c r="V58" s="102"/>
      <c r="W58" s="102"/>
      <c r="X58" s="102"/>
      <c r="Y58" s="39"/>
      <c r="Z58" s="7"/>
      <c r="AA58" s="7"/>
    </row>
    <row r="59" spans="2:27" ht="30.75" thickBot="1" x14ac:dyDescent="0.3">
      <c r="D59" s="40" t="s">
        <v>0</v>
      </c>
      <c r="E59" s="41" t="s">
        <v>26</v>
      </c>
      <c r="F59" s="42" t="s">
        <v>35</v>
      </c>
      <c r="G59" s="41" t="s">
        <v>2</v>
      </c>
      <c r="H59" s="42" t="s">
        <v>3</v>
      </c>
      <c r="I59" s="41" t="s">
        <v>1</v>
      </c>
      <c r="J59" s="42" t="s">
        <v>4</v>
      </c>
      <c r="K59" s="43" t="str">
        <f t="shared" si="27"/>
        <v>Places
(21)</v>
      </c>
      <c r="M59" s="19" t="s">
        <v>27</v>
      </c>
      <c r="N59" s="19" t="s">
        <v>1</v>
      </c>
      <c r="Q59" s="40" t="s">
        <v>0</v>
      </c>
      <c r="R59" s="41" t="s">
        <v>26</v>
      </c>
      <c r="S59" s="42" t="s">
        <v>35</v>
      </c>
      <c r="T59" s="41" t="s">
        <v>2</v>
      </c>
      <c r="U59" s="42" t="s">
        <v>3</v>
      </c>
      <c r="V59" s="41" t="s">
        <v>1</v>
      </c>
      <c r="W59" s="42" t="s">
        <v>4</v>
      </c>
      <c r="X59" s="43" t="str">
        <f t="shared" ref="X59" si="316">"Places
("&amp;SUM(X60:X63)&amp;")"</f>
        <v>Places
(21)</v>
      </c>
      <c r="Z59" s="19" t="s">
        <v>27</v>
      </c>
      <c r="AA59" s="19" t="s">
        <v>1</v>
      </c>
    </row>
    <row r="60" spans="2:27" x14ac:dyDescent="0.25">
      <c r="B60" s="5" t="str">
        <f>B58</f>
        <v>PouM</v>
      </c>
      <c r="D60" s="47">
        <v>22</v>
      </c>
      <c r="E60" s="63">
        <f>VLOOKUP(B60&amp;D60,'Calcul Effectifs Référence'!T:U,2,FALSE)</f>
        <v>15</v>
      </c>
      <c r="F60" s="60">
        <v>1</v>
      </c>
      <c r="G60" s="50" t="str">
        <f t="shared" ref="G60:G71" si="317">E60&amp;" / "&amp;ROUNDDOWN(E64,2)&amp;" = "&amp;ROUND(E60/E64,2)</f>
        <v>15 / 6,05 = 2,48</v>
      </c>
      <c r="H60" s="56">
        <f t="shared" ref="H60:H71" si="318">ROUNDDOWN(M60,0)</f>
        <v>2</v>
      </c>
      <c r="I60" s="45" t="str">
        <f t="shared" ref="I60:I71" si="319">E60&amp;" - ("&amp;H60&amp;" x "&amp;ROUNDDOWN(E64,2)&amp;") = "&amp;ROUNDDOWN(E60-H60*E64,2)</f>
        <v>15 - (2 x 6,05) = 2,88</v>
      </c>
      <c r="J60" s="53">
        <f t="shared" ref="J60" si="320">IF(RANK(N60,N60:N63)&lt;=J64,1,0)</f>
        <v>0</v>
      </c>
      <c r="K60" s="66">
        <f t="shared" ref="K60:K71" si="321">MAX(2,F60+H60+J60)</f>
        <v>3</v>
      </c>
      <c r="M60" s="20">
        <f>E60/E64</f>
        <v>2.4757281553398061</v>
      </c>
      <c r="N60" s="21">
        <f>E60-H60*E64</f>
        <v>2.882352941176471</v>
      </c>
      <c r="P60" s="5" t="str">
        <f>P58</f>
        <v>PouM</v>
      </c>
      <c r="Q60" s="47">
        <v>22</v>
      </c>
      <c r="R60" s="63">
        <f t="shared" ref="R60:R71" si="322">E60</f>
        <v>15</v>
      </c>
      <c r="S60" s="60">
        <v>1</v>
      </c>
      <c r="T60" s="50" t="str">
        <f t="shared" ref="T60" si="323">R60&amp;" / "&amp;ROUNDDOWN(R64,2)&amp;" = "&amp;ROUND(R60/R64,2)</f>
        <v>15 / 6,05 = 2,48</v>
      </c>
      <c r="U60" s="56">
        <f t="shared" ref="U60:U71" si="324">ROUNDDOWN(Z60,0)</f>
        <v>2</v>
      </c>
      <c r="V60" s="45" t="str">
        <f t="shared" ref="V60" si="325">R60&amp;" - ("&amp;U60&amp;" x "&amp;ROUNDDOWN(R64,2)&amp;") = "&amp;ROUNDDOWN(R60-U60*R64,2)</f>
        <v>15 - (2 x 6,05) = 2,88</v>
      </c>
      <c r="W60" s="53">
        <f t="shared" ref="W60" si="326">IF(RANK(AA60,AA60:AA63)&lt;=W64,1,0)</f>
        <v>0</v>
      </c>
      <c r="X60" s="66">
        <f t="shared" ref="X60:X63" si="327">S60+U60+W60</f>
        <v>3</v>
      </c>
      <c r="Z60" s="20">
        <f>R60/R64</f>
        <v>2.4757281553398061</v>
      </c>
      <c r="AA60" s="21">
        <f>R60-U60*R64</f>
        <v>2.882352941176471</v>
      </c>
    </row>
    <row r="61" spans="2:27" x14ac:dyDescent="0.25">
      <c r="B61" s="5" t="str">
        <f>B58</f>
        <v>PouM</v>
      </c>
      <c r="D61" s="48">
        <v>29</v>
      </c>
      <c r="E61" s="64">
        <f>VLOOKUP(B61&amp;D61,'Calcul Effectifs Référence'!T:U,2,FALSE)</f>
        <v>13</v>
      </c>
      <c r="F61" s="61">
        <v>1</v>
      </c>
      <c r="G61" s="51" t="str">
        <f t="shared" ref="G61:G71" si="328">E61&amp;" / "&amp;ROUNDDOWN(E64,2)&amp;" = "&amp;ROUND(E61/E64,2)</f>
        <v>13 / 6,05 = 2,15</v>
      </c>
      <c r="H61" s="57">
        <f t="shared" si="318"/>
        <v>2</v>
      </c>
      <c r="I61" s="44" t="str">
        <f t="shared" ref="I61:I71" si="329">E61&amp;" - ("&amp;H61&amp;" x "&amp;ROUNDDOWN(E64,2)&amp;") = "&amp;ROUNDDOWN(E61-H61*E64,2)</f>
        <v>13 - (2 x 6,05) = 0,88</v>
      </c>
      <c r="J61" s="54">
        <f t="shared" ref="J61" si="330">IF(RANK(N61,N60:N63)&lt;=J64,1,0)</f>
        <v>0</v>
      </c>
      <c r="K61" s="64">
        <f t="shared" si="321"/>
        <v>3</v>
      </c>
      <c r="M61" s="20">
        <f>E61/E64</f>
        <v>2.145631067961165</v>
      </c>
      <c r="N61" s="21">
        <f>E61-H61*E64</f>
        <v>0.88235294117647101</v>
      </c>
      <c r="P61" s="5" t="str">
        <f>P58</f>
        <v>PouM</v>
      </c>
      <c r="Q61" s="48">
        <v>29</v>
      </c>
      <c r="R61" s="64">
        <f t="shared" si="322"/>
        <v>13</v>
      </c>
      <c r="S61" s="61">
        <v>1</v>
      </c>
      <c r="T61" s="51" t="str">
        <f t="shared" ref="T61" si="331">R61&amp;" / "&amp;ROUNDDOWN(R64,2)&amp;" = "&amp;ROUND(R61/R64,2)</f>
        <v>13 / 6,05 = 2,15</v>
      </c>
      <c r="U61" s="57">
        <f t="shared" si="324"/>
        <v>2</v>
      </c>
      <c r="V61" s="44" t="str">
        <f t="shared" ref="V61" si="332">R61&amp;" - ("&amp;U61&amp;" x "&amp;ROUNDDOWN(R64,2)&amp;") = "&amp;ROUNDDOWN(R61-U61*R64,2)</f>
        <v>13 - (2 x 6,05) = 0,88</v>
      </c>
      <c r="W61" s="54">
        <f t="shared" ref="W61" si="333">IF(RANK(AA61,AA60:AA63)&lt;=W64,1,0)</f>
        <v>0</v>
      </c>
      <c r="X61" s="64">
        <f t="shared" si="327"/>
        <v>3</v>
      </c>
      <c r="Z61" s="20">
        <f>R61/R64</f>
        <v>2.145631067961165</v>
      </c>
      <c r="AA61" s="21">
        <f>R61-U61*R64</f>
        <v>0.88235294117647101</v>
      </c>
    </row>
    <row r="62" spans="2:27" x14ac:dyDescent="0.25">
      <c r="B62" s="5" t="str">
        <f>B58</f>
        <v>PouM</v>
      </c>
      <c r="D62" s="48">
        <v>35</v>
      </c>
      <c r="E62" s="64">
        <f>VLOOKUP(B62&amp;D62,'Calcul Effectifs Référence'!T:U,2,FALSE)</f>
        <v>41</v>
      </c>
      <c r="F62" s="61">
        <v>1</v>
      </c>
      <c r="G62" s="51" t="str">
        <f t="shared" ref="G62:G71" si="334">E62&amp;" / "&amp;ROUNDDOWN(E64,2)&amp;" = "&amp;ROUND(E62/E64,2)</f>
        <v>41 / 6,05 = 6,77</v>
      </c>
      <c r="H62" s="57">
        <f t="shared" si="318"/>
        <v>6</v>
      </c>
      <c r="I62" s="44" t="str">
        <f t="shared" ref="I62:I71" si="335">E62&amp;" - ("&amp;H62&amp;" x "&amp;ROUNDDOWN(E64,2)&amp;") = "&amp;ROUNDDOWN(E62-H62*E64,2)</f>
        <v>41 - (6 x 6,05) = 4,64</v>
      </c>
      <c r="J62" s="54">
        <f t="shared" ref="J62" si="336">IF(RANK(N62,N60:N63)&lt;=J64,1,0)</f>
        <v>1</v>
      </c>
      <c r="K62" s="64">
        <f t="shared" si="321"/>
        <v>8</v>
      </c>
      <c r="M62" s="20">
        <f>E62/E64</f>
        <v>6.766990291262136</v>
      </c>
      <c r="N62" s="21">
        <f>E62-H62*E64</f>
        <v>4.647058823529413</v>
      </c>
      <c r="P62" s="5" t="str">
        <f>P58</f>
        <v>PouM</v>
      </c>
      <c r="Q62" s="48">
        <v>35</v>
      </c>
      <c r="R62" s="64">
        <f t="shared" si="322"/>
        <v>41</v>
      </c>
      <c r="S62" s="61">
        <v>1</v>
      </c>
      <c r="T62" s="51" t="str">
        <f t="shared" ref="T62" si="337">R62&amp;" / "&amp;ROUNDDOWN(R64,2)&amp;" = "&amp;ROUND(R62/R64,2)</f>
        <v>41 / 6,05 = 6,77</v>
      </c>
      <c r="U62" s="57">
        <f t="shared" si="324"/>
        <v>6</v>
      </c>
      <c r="V62" s="44" t="str">
        <f t="shared" ref="V62" si="338">R62&amp;" - ("&amp;U62&amp;" x "&amp;ROUNDDOWN(R64,2)&amp;") = "&amp;ROUNDDOWN(R62-U62*R64,2)</f>
        <v>41 - (6 x 6,05) = 4,64</v>
      </c>
      <c r="W62" s="54">
        <f t="shared" ref="W62" si="339">IF(RANK(AA62,AA60:AA63)&lt;=W64,1,0)</f>
        <v>1</v>
      </c>
      <c r="X62" s="64">
        <f t="shared" si="327"/>
        <v>8</v>
      </c>
      <c r="Z62" s="20">
        <f>R62/R64</f>
        <v>6.766990291262136</v>
      </c>
      <c r="AA62" s="21">
        <f>R62-U62*R64</f>
        <v>4.647058823529413</v>
      </c>
    </row>
    <row r="63" spans="2:27" ht="15.75" thickBot="1" x14ac:dyDescent="0.3">
      <c r="B63" s="5" t="str">
        <f>B58</f>
        <v>PouM</v>
      </c>
      <c r="D63" s="49">
        <v>56</v>
      </c>
      <c r="E63" s="65">
        <f>VLOOKUP(B63&amp;D63,'Calcul Effectifs Référence'!T:U,2,FALSE)</f>
        <v>34</v>
      </c>
      <c r="F63" s="62">
        <v>1</v>
      </c>
      <c r="G63" s="52" t="str">
        <f t="shared" ref="G63:G71" si="340">E63&amp;" / "&amp;ROUNDDOWN(E64,2)&amp;" = "&amp;ROUND(E63/E64,2)</f>
        <v>34 / 6,05 = 5,61</v>
      </c>
      <c r="H63" s="58">
        <f t="shared" si="318"/>
        <v>5</v>
      </c>
      <c r="I63" s="46" t="str">
        <f t="shared" ref="I63:I71" si="341">E63&amp;" - ("&amp;H63&amp;" x "&amp;ROUNDDOWN(E64,2)&amp;") = "&amp;ROUNDDOWN(E63-H63*E64,2)</f>
        <v>34 - (5 x 6,05) = 3,7</v>
      </c>
      <c r="J63" s="55">
        <f t="shared" ref="J63:J71" si="342">IF(RANK(N63,N60:N63)&lt;=J64,1,0)</f>
        <v>1</v>
      </c>
      <c r="K63" s="65">
        <f t="shared" si="321"/>
        <v>7</v>
      </c>
      <c r="M63" s="20">
        <f>E63/E64</f>
        <v>5.6116504854368934</v>
      </c>
      <c r="N63" s="21">
        <f>E63-H63*E64</f>
        <v>3.7058823529411775</v>
      </c>
      <c r="P63" s="5" t="str">
        <f>P58</f>
        <v>PouM</v>
      </c>
      <c r="Q63" s="49">
        <v>56</v>
      </c>
      <c r="R63" s="65">
        <f t="shared" si="322"/>
        <v>34</v>
      </c>
      <c r="S63" s="62">
        <v>1</v>
      </c>
      <c r="T63" s="52" t="str">
        <f t="shared" ref="T63:T71" si="343">R63&amp;" / "&amp;ROUNDDOWN(R64,2)&amp;" = "&amp;ROUND(R63/R64,2)</f>
        <v>34 / 6,05 = 5,61</v>
      </c>
      <c r="U63" s="58">
        <f t="shared" si="324"/>
        <v>5</v>
      </c>
      <c r="V63" s="46" t="str">
        <f t="shared" ref="V63" si="344">R63&amp;" - ("&amp;U63&amp;" x "&amp;ROUNDDOWN(R64,2)&amp;") = "&amp;ROUNDDOWN(R63-U63*R64,2)</f>
        <v>34 - (5 x 6,05) = 3,7</v>
      </c>
      <c r="W63" s="55">
        <f t="shared" ref="W63" si="345">IF(RANK(AA63,AA60:AA63)&lt;=W64,1,0)</f>
        <v>1</v>
      </c>
      <c r="X63" s="65">
        <f t="shared" si="327"/>
        <v>7</v>
      </c>
      <c r="Z63" s="20">
        <f>R63/R64</f>
        <v>5.6116504854368934</v>
      </c>
      <c r="AA63" s="21">
        <f>R63-U63*R64</f>
        <v>3.7058823529411775</v>
      </c>
    </row>
    <row r="64" spans="2:27" x14ac:dyDescent="0.25">
      <c r="B64" s="5" t="str">
        <f>B58</f>
        <v>PouM</v>
      </c>
      <c r="D64" s="3"/>
      <c r="E64" s="2">
        <f t="shared" ref="E64" si="346">SUM(E60:E63)/(F64-SUM(F60:F63))</f>
        <v>6.0588235294117645</v>
      </c>
      <c r="F64" s="1">
        <f>VLOOKUP(D58,'Calcul Places disponibles'!$D$8:$L$17,9,FALSE)</f>
        <v>21</v>
      </c>
      <c r="G64" s="2"/>
      <c r="H64" s="1">
        <f t="shared" si="59"/>
        <v>15</v>
      </c>
      <c r="I64" s="2"/>
      <c r="J64" s="1">
        <f t="shared" ref="J64" si="347">F64-SUM(F60:F63)-H64</f>
        <v>2</v>
      </c>
      <c r="K64" s="1"/>
      <c r="Q64" s="3"/>
      <c r="R64" s="2">
        <f t="shared" ref="R64" si="348">SUM(R60:R63)/(S64-SUM(S60:S63))</f>
        <v>6.0588235294117645</v>
      </c>
      <c r="S64" s="1">
        <f>VLOOKUP(Q58,'Calcul Places disponibles'!$D$8:$L$17,9,FALSE)</f>
        <v>21</v>
      </c>
      <c r="T64" s="2"/>
      <c r="U64" s="1">
        <f t="shared" ref="U64" si="349">SUM(U60:U63)</f>
        <v>15</v>
      </c>
      <c r="V64" s="2"/>
      <c r="W64" s="1">
        <f t="shared" ref="W64" si="350">S64-SUM(S60:S63)-U64</f>
        <v>2</v>
      </c>
      <c r="X64" s="1"/>
    </row>
    <row r="65" spans="2:27" ht="16.5" thickBot="1" x14ac:dyDescent="0.3">
      <c r="B65" s="5" t="s">
        <v>25</v>
      </c>
      <c r="D65" s="38" t="str">
        <f t="shared" ref="D65:D71" si="351">B65</f>
        <v>PpoM</v>
      </c>
      <c r="E65" s="102" t="str">
        <f t="shared" ref="E65:E71" si="352">"Places : "&amp;F71</f>
        <v>Places : 10</v>
      </c>
      <c r="F65" s="102"/>
      <c r="G65" s="102" t="str">
        <f t="shared" ref="G65" si="353">"Quotient de Hare : Q = ("&amp;E67&amp;" + "&amp;E68&amp;" + "&amp;E69&amp;" + "&amp;E70&amp;") / ("&amp;F71&amp;" - "&amp;SUM(F67:F70)&amp;") = "&amp;SUM(E67:E70)&amp;" / "&amp;(F71 - SUM(F67:F70))&amp;" = "&amp;ROUNDDOWN(SUM(E67:E70)/(F71-SUM(F67:F70)),2)</f>
        <v>Quotient de Hare : Q = (4 + 3 + 8 + 8) / (10 - 4) = 23 / 6 = 3,83</v>
      </c>
      <c r="H65" s="102"/>
      <c r="I65" s="102"/>
      <c r="J65" s="102"/>
      <c r="K65" s="102"/>
      <c r="L65" s="39"/>
      <c r="M65" s="7"/>
      <c r="N65" s="7"/>
      <c r="P65" s="5" t="s">
        <v>25</v>
      </c>
      <c r="Q65" s="38" t="str">
        <f t="shared" ref="Q65" si="354">P65</f>
        <v>PpoM</v>
      </c>
      <c r="R65" s="102" t="str">
        <f t="shared" ref="R65" si="355">"Places : "&amp;S71</f>
        <v>Places : 10</v>
      </c>
      <c r="S65" s="102"/>
      <c r="T65" s="102" t="str">
        <f t="shared" ref="T65" si="356">"Quotient de Hare : Q = ("&amp;R67&amp;" + "&amp;R68&amp;" + "&amp;R69&amp;" + "&amp;R70&amp;") / ("&amp;S71&amp;" - "&amp;SUM(S67:S70)&amp;") = "&amp;SUM(R67:R70)&amp;" / "&amp;(S71 - SUM(S67:S70))&amp;" = "&amp;ROUNDDOWN(SUM(R67:R70)/(S71-SUM(S67:S70)),2)</f>
        <v>Quotient de Hare : Q = (4 + 3 + 8 + 8) / (10 - 4) = 23 / 6 = 3,83</v>
      </c>
      <c r="U65" s="102"/>
      <c r="V65" s="102"/>
      <c r="W65" s="102"/>
      <c r="X65" s="102"/>
      <c r="Y65" s="39"/>
      <c r="Z65" s="7"/>
      <c r="AA65" s="7"/>
    </row>
    <row r="66" spans="2:27" ht="30.75" thickBot="1" x14ac:dyDescent="0.3">
      <c r="D66" s="40" t="s">
        <v>0</v>
      </c>
      <c r="E66" s="41" t="s">
        <v>26</v>
      </c>
      <c r="F66" s="42" t="s">
        <v>35</v>
      </c>
      <c r="G66" s="41" t="s">
        <v>2</v>
      </c>
      <c r="H66" s="42" t="s">
        <v>3</v>
      </c>
      <c r="I66" s="41" t="s">
        <v>1</v>
      </c>
      <c r="J66" s="42" t="s">
        <v>4</v>
      </c>
      <c r="K66" s="43" t="str">
        <f t="shared" si="27"/>
        <v>Places
(10)</v>
      </c>
      <c r="M66" s="19" t="s">
        <v>27</v>
      </c>
      <c r="N66" s="19" t="s">
        <v>1</v>
      </c>
      <c r="Q66" s="40" t="s">
        <v>0</v>
      </c>
      <c r="R66" s="41" t="s">
        <v>26</v>
      </c>
      <c r="S66" s="42" t="s">
        <v>35</v>
      </c>
      <c r="T66" s="41" t="s">
        <v>2</v>
      </c>
      <c r="U66" s="42" t="s">
        <v>3</v>
      </c>
      <c r="V66" s="41" t="s">
        <v>1</v>
      </c>
      <c r="W66" s="42" t="s">
        <v>4</v>
      </c>
      <c r="X66" s="43" t="str">
        <f t="shared" ref="X66" si="357">"Places
("&amp;SUM(X67:X70)&amp;")"</f>
        <v>Places
(10)</v>
      </c>
      <c r="Z66" s="19" t="s">
        <v>27</v>
      </c>
      <c r="AA66" s="19" t="s">
        <v>1</v>
      </c>
    </row>
    <row r="67" spans="2:27" x14ac:dyDescent="0.25">
      <c r="B67" s="5" t="str">
        <f>B65</f>
        <v>PpoM</v>
      </c>
      <c r="D67" s="47">
        <v>22</v>
      </c>
      <c r="E67" s="63">
        <f>VLOOKUP(B67&amp;D67,'Calcul Effectifs Référence'!T:U,2,FALSE)</f>
        <v>4</v>
      </c>
      <c r="F67" s="60">
        <v>1</v>
      </c>
      <c r="G67" s="50" t="str">
        <f t="shared" ref="G67:G71" si="358">E67&amp;" / "&amp;ROUNDDOWN(E71,2)&amp;" = "&amp;ROUND(E67/E71,2)</f>
        <v>4 / 3,83 = 1,04</v>
      </c>
      <c r="H67" s="56">
        <f t="shared" ref="H67:H71" si="359">ROUNDDOWN(M67,0)</f>
        <v>1</v>
      </c>
      <c r="I67" s="45" t="str">
        <f t="shared" ref="I67:I71" si="360">E67&amp;" - ("&amp;H67&amp;" x "&amp;ROUNDDOWN(E71,2)&amp;") = "&amp;ROUNDDOWN(E67-H67*E71,2)</f>
        <v>4 - (1 x 3,83) = 0,16</v>
      </c>
      <c r="J67" s="53">
        <f t="shared" ref="J67" si="361">IF(RANK(N67,N67:N70)&lt;=J71,1,0)</f>
        <v>0</v>
      </c>
      <c r="K67" s="66">
        <f t="shared" ref="K67:K71" si="362">MAX(2,F67+H67+J67)</f>
        <v>2</v>
      </c>
      <c r="M67" s="20">
        <f>E67/E71</f>
        <v>1.0434782608695652</v>
      </c>
      <c r="N67" s="21">
        <f>E67-H67*E71</f>
        <v>0.16666666666666652</v>
      </c>
      <c r="P67" s="5" t="str">
        <f>P65</f>
        <v>PpoM</v>
      </c>
      <c r="Q67" s="47">
        <v>22</v>
      </c>
      <c r="R67" s="63">
        <f t="shared" ref="R67:R71" si="363">E67</f>
        <v>4</v>
      </c>
      <c r="S67" s="60">
        <v>1</v>
      </c>
      <c r="T67" s="50" t="str">
        <f t="shared" ref="T67" si="364">R67&amp;" / "&amp;ROUNDDOWN(R71,2)&amp;" = "&amp;ROUND(R67/R71,2)</f>
        <v>4 / 3,83 = 1,04</v>
      </c>
      <c r="U67" s="56">
        <f t="shared" ref="U67:U71" si="365">ROUNDDOWN(Z67,0)</f>
        <v>1</v>
      </c>
      <c r="V67" s="45" t="str">
        <f t="shared" ref="V67" si="366">R67&amp;" - ("&amp;U67&amp;" x "&amp;ROUNDDOWN(R71,2)&amp;") = "&amp;ROUNDDOWN(R67-U67*R71,2)</f>
        <v>4 - (1 x 3,83) = 0,16</v>
      </c>
      <c r="W67" s="53">
        <f t="shared" ref="W67" si="367">IF(RANK(AA67,AA67:AA70)&lt;=W71,1,0)</f>
        <v>0</v>
      </c>
      <c r="X67" s="66">
        <f t="shared" ref="X67:X70" si="368">S67+U67+W67</f>
        <v>2</v>
      </c>
      <c r="Z67" s="20">
        <f>R67/R71</f>
        <v>1.0434782608695652</v>
      </c>
      <c r="AA67" s="21">
        <f>R67-U67*R71</f>
        <v>0.16666666666666652</v>
      </c>
    </row>
    <row r="68" spans="2:27" x14ac:dyDescent="0.25">
      <c r="B68" s="5" t="str">
        <f>B65</f>
        <v>PpoM</v>
      </c>
      <c r="D68" s="48">
        <v>29</v>
      </c>
      <c r="E68" s="64">
        <f>VLOOKUP(B68&amp;D68,'Calcul Effectifs Référence'!T:U,2,FALSE)</f>
        <v>3</v>
      </c>
      <c r="F68" s="61">
        <v>1</v>
      </c>
      <c r="G68" s="51" t="str">
        <f t="shared" ref="G68:G71" si="369">E68&amp;" / "&amp;ROUNDDOWN(E71,2)&amp;" = "&amp;ROUND(E68/E71,2)</f>
        <v>3 / 3,83 = 0,78</v>
      </c>
      <c r="H68" s="57">
        <f t="shared" si="359"/>
        <v>0</v>
      </c>
      <c r="I68" s="44" t="str">
        <f t="shared" ref="I68:I71" si="370">E68&amp;" - ("&amp;H68&amp;" x "&amp;ROUNDDOWN(E71,2)&amp;") = "&amp;ROUNDDOWN(E68-H68*E71,2)</f>
        <v>3 - (0 x 3,83) = 3</v>
      </c>
      <c r="J68" s="54">
        <f t="shared" ref="J68" si="371">IF(RANK(N68,N67:N70)&lt;=J71,1,0)</f>
        <v>1</v>
      </c>
      <c r="K68" s="64">
        <f t="shared" si="362"/>
        <v>2</v>
      </c>
      <c r="M68" s="20">
        <f>E68/E71</f>
        <v>0.78260869565217384</v>
      </c>
      <c r="N68" s="21">
        <f>E68-H68*E71</f>
        <v>3</v>
      </c>
      <c r="P68" s="5" t="str">
        <f>P65</f>
        <v>PpoM</v>
      </c>
      <c r="Q68" s="48">
        <v>29</v>
      </c>
      <c r="R68" s="64">
        <f t="shared" si="363"/>
        <v>3</v>
      </c>
      <c r="S68" s="61">
        <v>1</v>
      </c>
      <c r="T68" s="51" t="str">
        <f t="shared" ref="T68" si="372">R68&amp;" / "&amp;ROUNDDOWN(R71,2)&amp;" = "&amp;ROUND(R68/R71,2)</f>
        <v>3 / 3,83 = 0,78</v>
      </c>
      <c r="U68" s="57">
        <f t="shared" si="365"/>
        <v>0</v>
      </c>
      <c r="V68" s="44" t="str">
        <f t="shared" ref="V68" si="373">R68&amp;" - ("&amp;U68&amp;" x "&amp;ROUNDDOWN(R71,2)&amp;") = "&amp;ROUNDDOWN(R68-U68*R71,2)</f>
        <v>3 - (0 x 3,83) = 3</v>
      </c>
      <c r="W68" s="54">
        <f t="shared" ref="W68" si="374">IF(RANK(AA68,AA67:AA70)&lt;=W71,1,0)</f>
        <v>1</v>
      </c>
      <c r="X68" s="64">
        <f t="shared" si="368"/>
        <v>2</v>
      </c>
      <c r="Z68" s="20">
        <f>R68/R71</f>
        <v>0.78260869565217384</v>
      </c>
      <c r="AA68" s="21">
        <f>R68-U68*R71</f>
        <v>3</v>
      </c>
    </row>
    <row r="69" spans="2:27" x14ac:dyDescent="0.25">
      <c r="B69" s="5" t="str">
        <f>B65</f>
        <v>PpoM</v>
      </c>
      <c r="D69" s="48">
        <v>35</v>
      </c>
      <c r="E69" s="64">
        <f>VLOOKUP(B69&amp;D69,'Calcul Effectifs Référence'!T:U,2,FALSE)</f>
        <v>8</v>
      </c>
      <c r="F69" s="61">
        <v>1</v>
      </c>
      <c r="G69" s="51" t="str">
        <f t="shared" ref="G69:G71" si="375">E69&amp;" / "&amp;ROUNDDOWN(E71,2)&amp;" = "&amp;ROUND(E69/E71,2)</f>
        <v>8 / 3,83 = 2,09</v>
      </c>
      <c r="H69" s="57">
        <f t="shared" si="359"/>
        <v>2</v>
      </c>
      <c r="I69" s="44" t="str">
        <f t="shared" ref="I69:I71" si="376">E69&amp;" - ("&amp;H69&amp;" x "&amp;ROUNDDOWN(E71,2)&amp;") = "&amp;ROUNDDOWN(E69-H69*E71,2)</f>
        <v>8 - (2 x 3,83) = 0,33</v>
      </c>
      <c r="J69" s="54">
        <f t="shared" ref="J69" si="377">IF(RANK(N69,N67:N70)&lt;=J71,1,0)</f>
        <v>0</v>
      </c>
      <c r="K69" s="64">
        <f t="shared" si="362"/>
        <v>3</v>
      </c>
      <c r="M69" s="20">
        <f>E69/E71</f>
        <v>2.0869565217391304</v>
      </c>
      <c r="N69" s="21">
        <f>E69-H69*E71</f>
        <v>0.33333333333333304</v>
      </c>
      <c r="P69" s="5" t="str">
        <f>P65</f>
        <v>PpoM</v>
      </c>
      <c r="Q69" s="48">
        <v>35</v>
      </c>
      <c r="R69" s="64">
        <f t="shared" si="363"/>
        <v>8</v>
      </c>
      <c r="S69" s="61">
        <v>1</v>
      </c>
      <c r="T69" s="51" t="str">
        <f t="shared" ref="T69" si="378">R69&amp;" / "&amp;ROUNDDOWN(R71,2)&amp;" = "&amp;ROUND(R69/R71,2)</f>
        <v>8 / 3,83 = 2,09</v>
      </c>
      <c r="U69" s="57">
        <f t="shared" si="365"/>
        <v>2</v>
      </c>
      <c r="V69" s="44" t="str">
        <f t="shared" ref="V69" si="379">R69&amp;" - ("&amp;U69&amp;" x "&amp;ROUNDDOWN(R71,2)&amp;") = "&amp;ROUNDDOWN(R69-U69*R71,2)</f>
        <v>8 - (2 x 3,83) = 0,33</v>
      </c>
      <c r="W69" s="54">
        <f t="shared" ref="W69" si="380">IF(RANK(AA69,AA67:AA70)&lt;=W71,1,0)</f>
        <v>0</v>
      </c>
      <c r="X69" s="64">
        <f t="shared" si="368"/>
        <v>3</v>
      </c>
      <c r="Z69" s="20">
        <f>R69/R71</f>
        <v>2.0869565217391304</v>
      </c>
      <c r="AA69" s="21">
        <f>R69-U69*R71</f>
        <v>0.33333333333333304</v>
      </c>
    </row>
    <row r="70" spans="2:27" ht="15.75" thickBot="1" x14ac:dyDescent="0.3">
      <c r="B70" s="5" t="str">
        <f>B65</f>
        <v>PpoM</v>
      </c>
      <c r="D70" s="49">
        <v>56</v>
      </c>
      <c r="E70" s="65">
        <f>VLOOKUP(B70&amp;D70,'Calcul Effectifs Référence'!T:U,2,FALSE)</f>
        <v>8</v>
      </c>
      <c r="F70" s="62">
        <v>1</v>
      </c>
      <c r="G70" s="52" t="str">
        <f t="shared" ref="G70:G71" si="381">E70&amp;" / "&amp;ROUNDDOWN(E71,2)&amp;" = "&amp;ROUND(E70/E71,2)</f>
        <v>8 / 3,83 = 2,09</v>
      </c>
      <c r="H70" s="58">
        <f t="shared" si="359"/>
        <v>2</v>
      </c>
      <c r="I70" s="46" t="str">
        <f t="shared" ref="I70:I71" si="382">E70&amp;" - ("&amp;H70&amp;" x "&amp;ROUNDDOWN(E71,2)&amp;") = "&amp;ROUNDDOWN(E70-H70*E71,2)</f>
        <v>8 - (2 x 3,83) = 0,33</v>
      </c>
      <c r="J70" s="55">
        <f t="shared" ref="J70:J71" si="383">IF(RANK(N70,N67:N70)&lt;=J71,1,0)</f>
        <v>0</v>
      </c>
      <c r="K70" s="65">
        <f t="shared" si="362"/>
        <v>3</v>
      </c>
      <c r="M70" s="20">
        <f>E70/E71</f>
        <v>2.0869565217391304</v>
      </c>
      <c r="N70" s="21">
        <f>E70-H70*E71</f>
        <v>0.33333333333333304</v>
      </c>
      <c r="P70" s="5" t="str">
        <f>P65</f>
        <v>PpoM</v>
      </c>
      <c r="Q70" s="49">
        <v>56</v>
      </c>
      <c r="R70" s="65">
        <f t="shared" si="363"/>
        <v>8</v>
      </c>
      <c r="S70" s="62">
        <v>1</v>
      </c>
      <c r="T70" s="52" t="str">
        <f t="shared" ref="T70:T71" si="384">R70&amp;" / "&amp;ROUNDDOWN(R71,2)&amp;" = "&amp;ROUND(R70/R71,2)</f>
        <v>8 / 3,83 = 2,09</v>
      </c>
      <c r="U70" s="58">
        <f t="shared" si="365"/>
        <v>2</v>
      </c>
      <c r="V70" s="46" t="str">
        <f t="shared" ref="V70" si="385">R70&amp;" - ("&amp;U70&amp;" x "&amp;ROUNDDOWN(R71,2)&amp;") = "&amp;ROUNDDOWN(R70-U70*R71,2)</f>
        <v>8 - (2 x 3,83) = 0,33</v>
      </c>
      <c r="W70" s="55">
        <f t="shared" ref="W70" si="386">IF(RANK(AA70,AA67:AA70)&lt;=W71,1,0)</f>
        <v>0</v>
      </c>
      <c r="X70" s="65">
        <f t="shared" si="368"/>
        <v>3</v>
      </c>
      <c r="Z70" s="20">
        <f>R70/R71</f>
        <v>2.0869565217391304</v>
      </c>
      <c r="AA70" s="21">
        <f>R70-U70*R71</f>
        <v>0.33333333333333304</v>
      </c>
    </row>
    <row r="71" spans="2:27" x14ac:dyDescent="0.25">
      <c r="B71" s="5" t="str">
        <f>B65</f>
        <v>PpoM</v>
      </c>
      <c r="D71" s="3"/>
      <c r="E71" s="2">
        <f t="shared" ref="E71" si="387">SUM(E67:E70)/(F71-SUM(F67:F70))</f>
        <v>3.8333333333333335</v>
      </c>
      <c r="F71" s="1">
        <f>VLOOKUP(D65,'Calcul Places disponibles'!$D$8:$L$17,9,FALSE)</f>
        <v>10</v>
      </c>
      <c r="G71" s="2"/>
      <c r="H71" s="1">
        <f t="shared" si="59"/>
        <v>5</v>
      </c>
      <c r="I71" s="2"/>
      <c r="J71" s="1">
        <f t="shared" ref="J71" si="388">F71-SUM(F67:F70)-H71</f>
        <v>1</v>
      </c>
      <c r="K71" s="1"/>
      <c r="L71" s="81"/>
      <c r="M71" s="82"/>
      <c r="N71" s="82"/>
      <c r="P71" s="81"/>
      <c r="Q71" s="3"/>
      <c r="R71" s="2">
        <f t="shared" ref="R71" si="389">SUM(R67:R70)/(S71-SUM(S67:S70))</f>
        <v>3.8333333333333335</v>
      </c>
      <c r="S71" s="1">
        <f>VLOOKUP(Q65,'Calcul Places disponibles'!$D$8:$L$17,9,FALSE)</f>
        <v>10</v>
      </c>
      <c r="T71" s="2"/>
      <c r="U71" s="1">
        <f t="shared" ref="U71" si="390">SUM(U67:U70)</f>
        <v>5</v>
      </c>
      <c r="V71" s="2"/>
      <c r="W71" s="1">
        <f t="shared" ref="W71" si="391">S71-SUM(S67:S70)-U71</f>
        <v>1</v>
      </c>
      <c r="X71" s="1"/>
    </row>
    <row r="72" spans="2:27" ht="15.75" x14ac:dyDescent="0.25">
      <c r="D72" s="38"/>
      <c r="F72" s="38"/>
      <c r="Q72" s="38"/>
      <c r="S72" s="38"/>
    </row>
  </sheetData>
  <mergeCells count="42">
    <mergeCell ref="E16:F16"/>
    <mergeCell ref="G16:K16"/>
    <mergeCell ref="E23:F23"/>
    <mergeCell ref="G23:K23"/>
    <mergeCell ref="E30:F30"/>
    <mergeCell ref="G30:K30"/>
    <mergeCell ref="E37:F37"/>
    <mergeCell ref="G37:K37"/>
    <mergeCell ref="E65:F65"/>
    <mergeCell ref="G65:K65"/>
    <mergeCell ref="E44:F44"/>
    <mergeCell ref="G44:K44"/>
    <mergeCell ref="E51:F51"/>
    <mergeCell ref="G51:K51"/>
    <mergeCell ref="E58:F58"/>
    <mergeCell ref="G58:K58"/>
    <mergeCell ref="D1:K1"/>
    <mergeCell ref="Q1:X1"/>
    <mergeCell ref="R2:S2"/>
    <mergeCell ref="T2:X2"/>
    <mergeCell ref="R9:S9"/>
    <mergeCell ref="T9:X9"/>
    <mergeCell ref="G9:K9"/>
    <mergeCell ref="G2:K2"/>
    <mergeCell ref="E2:F2"/>
    <mergeCell ref="E9:F9"/>
    <mergeCell ref="R16:S16"/>
    <mergeCell ref="T16:X16"/>
    <mergeCell ref="R23:S23"/>
    <mergeCell ref="T23:X23"/>
    <mergeCell ref="R30:S30"/>
    <mergeCell ref="T30:X30"/>
    <mergeCell ref="R58:S58"/>
    <mergeCell ref="T58:X58"/>
    <mergeCell ref="R65:S65"/>
    <mergeCell ref="T65:X65"/>
    <mergeCell ref="R37:S37"/>
    <mergeCell ref="T37:X37"/>
    <mergeCell ref="R44:S44"/>
    <mergeCell ref="T44:X44"/>
    <mergeCell ref="R51:S51"/>
    <mergeCell ref="T51:X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workbookViewId="0">
      <selection activeCell="C13" sqref="C13"/>
    </sheetView>
  </sheetViews>
  <sheetFormatPr baseColWidth="10" defaultRowHeight="15" x14ac:dyDescent="0.25"/>
  <cols>
    <col min="1" max="1" width="17.42578125" style="6" customWidth="1"/>
    <col min="2" max="2" width="6.28515625" style="6" customWidth="1"/>
    <col min="3" max="6" width="4.28515625" style="6" customWidth="1"/>
    <col min="7" max="7" width="5.5703125" style="6" customWidth="1"/>
    <col min="8" max="8" width="1.5703125" style="6" customWidth="1"/>
    <col min="9" max="9" width="6.28515625" style="6" customWidth="1"/>
    <col min="10" max="13" width="4.28515625" style="6" customWidth="1"/>
    <col min="14" max="14" width="5.5703125" style="67" customWidth="1"/>
    <col min="15" max="15" width="1.5703125" style="67" customWidth="1"/>
    <col min="16" max="16" width="6.28515625" style="6" customWidth="1"/>
    <col min="17" max="20" width="6.140625" style="6" customWidth="1"/>
    <col min="21" max="16384" width="11.42578125" style="6"/>
  </cols>
  <sheetData>
    <row r="2" spans="2:20" x14ac:dyDescent="0.25">
      <c r="B2" s="4"/>
      <c r="C2" s="104" t="s">
        <v>9</v>
      </c>
      <c r="D2" s="104">
        <f t="shared" ref="D2:F9" si="0">K11</f>
        <v>0</v>
      </c>
      <c r="E2" s="104">
        <f t="shared" si="0"/>
        <v>0</v>
      </c>
      <c r="F2" s="104">
        <f t="shared" si="0"/>
        <v>0</v>
      </c>
      <c r="I2" s="4"/>
      <c r="J2" s="104" t="s">
        <v>14</v>
      </c>
      <c r="K2" s="104">
        <f t="shared" ref="K2:M9" si="1">K20</f>
        <v>0</v>
      </c>
      <c r="L2" s="104">
        <f t="shared" si="1"/>
        <v>0</v>
      </c>
      <c r="M2" s="104">
        <f t="shared" si="1"/>
        <v>0</v>
      </c>
    </row>
    <row r="3" spans="2:20" ht="15.75" thickBot="1" x14ac:dyDescent="0.3">
      <c r="B3" s="7"/>
      <c r="C3" s="7">
        <f t="shared" ref="C3:C9" si="2">J12</f>
        <v>22</v>
      </c>
      <c r="D3" s="7">
        <f t="shared" si="0"/>
        <v>29</v>
      </c>
      <c r="E3" s="7">
        <f t="shared" si="0"/>
        <v>35</v>
      </c>
      <c r="F3" s="7">
        <f t="shared" si="0"/>
        <v>56</v>
      </c>
      <c r="I3" s="7"/>
      <c r="J3" s="7">
        <f t="shared" ref="J3:J9" si="3">J21</f>
        <v>22</v>
      </c>
      <c r="K3" s="7">
        <f t="shared" si="1"/>
        <v>29</v>
      </c>
      <c r="L3" s="7">
        <f t="shared" si="1"/>
        <v>35</v>
      </c>
      <c r="M3" s="7">
        <f t="shared" si="1"/>
        <v>56</v>
      </c>
    </row>
    <row r="4" spans="2:20" x14ac:dyDescent="0.25">
      <c r="B4" s="7" t="str">
        <f>I13</f>
        <v>MinF</v>
      </c>
      <c r="C4" s="69">
        <f t="shared" si="2"/>
        <v>3</v>
      </c>
      <c r="D4" s="70">
        <f t="shared" si="0"/>
        <v>2</v>
      </c>
      <c r="E4" s="70">
        <f t="shared" si="0"/>
        <v>4</v>
      </c>
      <c r="F4" s="71">
        <f t="shared" si="0"/>
        <v>3</v>
      </c>
      <c r="I4" s="7" t="str">
        <f>I22</f>
        <v>MinM</v>
      </c>
      <c r="J4" s="69">
        <f t="shared" si="3"/>
        <v>4</v>
      </c>
      <c r="K4" s="70">
        <f t="shared" si="1"/>
        <v>5</v>
      </c>
      <c r="L4" s="70">
        <f t="shared" si="1"/>
        <v>10</v>
      </c>
      <c r="M4" s="71">
        <f t="shared" si="1"/>
        <v>5</v>
      </c>
    </row>
    <row r="5" spans="2:20" x14ac:dyDescent="0.25">
      <c r="B5" s="7" t="str">
        <f>I14</f>
        <v>BenF</v>
      </c>
      <c r="C5" s="72">
        <f t="shared" si="2"/>
        <v>3</v>
      </c>
      <c r="D5" s="68">
        <f t="shared" si="0"/>
        <v>2</v>
      </c>
      <c r="E5" s="68">
        <f t="shared" si="0"/>
        <v>4</v>
      </c>
      <c r="F5" s="73">
        <f t="shared" si="0"/>
        <v>3</v>
      </c>
      <c r="I5" s="7" t="str">
        <f>I23</f>
        <v>BenM</v>
      </c>
      <c r="J5" s="72">
        <f t="shared" si="3"/>
        <v>5</v>
      </c>
      <c r="K5" s="68">
        <f t="shared" si="1"/>
        <v>5</v>
      </c>
      <c r="L5" s="68">
        <f t="shared" si="1"/>
        <v>8</v>
      </c>
      <c r="M5" s="73">
        <f t="shared" si="1"/>
        <v>6</v>
      </c>
    </row>
    <row r="6" spans="2:20" x14ac:dyDescent="0.25">
      <c r="B6" s="7" t="str">
        <f>I15</f>
        <v>PupF</v>
      </c>
      <c r="C6" s="72">
        <f t="shared" si="2"/>
        <v>2</v>
      </c>
      <c r="D6" s="68">
        <f t="shared" si="0"/>
        <v>2</v>
      </c>
      <c r="E6" s="68">
        <f t="shared" si="0"/>
        <v>4</v>
      </c>
      <c r="F6" s="73">
        <f t="shared" si="0"/>
        <v>2</v>
      </c>
      <c r="I6" s="7" t="str">
        <f>I24</f>
        <v>PupM</v>
      </c>
      <c r="J6" s="72">
        <f t="shared" si="3"/>
        <v>3</v>
      </c>
      <c r="K6" s="68">
        <f t="shared" si="1"/>
        <v>5</v>
      </c>
      <c r="L6" s="68">
        <f t="shared" si="1"/>
        <v>9</v>
      </c>
      <c r="M6" s="73">
        <f t="shared" si="1"/>
        <v>7</v>
      </c>
    </row>
    <row r="7" spans="2:20" x14ac:dyDescent="0.25">
      <c r="B7" s="7" t="str">
        <f>I16</f>
        <v>PouF</v>
      </c>
      <c r="C7" s="72">
        <f t="shared" si="2"/>
        <v>3</v>
      </c>
      <c r="D7" s="68">
        <f t="shared" si="0"/>
        <v>2</v>
      </c>
      <c r="E7" s="68">
        <f t="shared" si="0"/>
        <v>4</v>
      </c>
      <c r="F7" s="73">
        <f t="shared" si="0"/>
        <v>3</v>
      </c>
      <c r="I7" s="7" t="str">
        <f>I25</f>
        <v>PouM</v>
      </c>
      <c r="J7" s="72">
        <f t="shared" si="3"/>
        <v>3</v>
      </c>
      <c r="K7" s="68">
        <f t="shared" si="1"/>
        <v>3</v>
      </c>
      <c r="L7" s="68">
        <f t="shared" si="1"/>
        <v>8</v>
      </c>
      <c r="M7" s="73">
        <f t="shared" si="1"/>
        <v>7</v>
      </c>
    </row>
    <row r="8" spans="2:20" ht="15.75" thickBot="1" x14ac:dyDescent="0.3">
      <c r="B8" s="7" t="str">
        <f>I17</f>
        <v>PpoF</v>
      </c>
      <c r="C8" s="74">
        <f t="shared" si="2"/>
        <v>2</v>
      </c>
      <c r="D8" s="75">
        <f t="shared" si="0"/>
        <v>2</v>
      </c>
      <c r="E8" s="75">
        <f t="shared" si="0"/>
        <v>6</v>
      </c>
      <c r="F8" s="76">
        <f t="shared" si="0"/>
        <v>2</v>
      </c>
      <c r="I8" s="7" t="str">
        <f>I26</f>
        <v>PpoM</v>
      </c>
      <c r="J8" s="74">
        <f t="shared" si="3"/>
        <v>2</v>
      </c>
      <c r="K8" s="75">
        <f t="shared" si="1"/>
        <v>2</v>
      </c>
      <c r="L8" s="75">
        <f t="shared" si="1"/>
        <v>3</v>
      </c>
      <c r="M8" s="76">
        <f t="shared" si="1"/>
        <v>3</v>
      </c>
    </row>
    <row r="9" spans="2:20" x14ac:dyDescent="0.25">
      <c r="B9" s="7"/>
      <c r="C9" s="7">
        <f t="shared" si="2"/>
        <v>13</v>
      </c>
      <c r="D9" s="7">
        <f t="shared" si="0"/>
        <v>10</v>
      </c>
      <c r="E9" s="7">
        <f t="shared" si="0"/>
        <v>22</v>
      </c>
      <c r="F9" s="7">
        <f t="shared" si="0"/>
        <v>13</v>
      </c>
      <c r="I9" s="7"/>
      <c r="J9" s="7">
        <f t="shared" si="3"/>
        <v>17</v>
      </c>
      <c r="K9" s="7">
        <f t="shared" si="1"/>
        <v>20</v>
      </c>
      <c r="L9" s="7">
        <f t="shared" si="1"/>
        <v>38</v>
      </c>
      <c r="M9" s="7">
        <f t="shared" si="1"/>
        <v>28</v>
      </c>
    </row>
    <row r="11" spans="2:20" s="4" customFormat="1" x14ac:dyDescent="0.25">
      <c r="B11" s="104" t="s">
        <v>36</v>
      </c>
      <c r="C11" s="104"/>
      <c r="D11" s="104"/>
      <c r="E11" s="104"/>
      <c r="F11" s="104"/>
      <c r="G11" s="104"/>
      <c r="I11" s="104" t="s">
        <v>30</v>
      </c>
      <c r="J11" s="104"/>
      <c r="K11" s="104"/>
      <c r="L11" s="104"/>
      <c r="M11" s="104"/>
      <c r="N11" s="104"/>
      <c r="O11" s="22"/>
      <c r="Q11" s="104" t="s">
        <v>31</v>
      </c>
      <c r="R11" s="104"/>
      <c r="S11" s="104"/>
      <c r="T11" s="104"/>
    </row>
    <row r="12" spans="2:20" ht="15.75" thickBot="1" x14ac:dyDescent="0.3">
      <c r="C12" s="7">
        <v>22</v>
      </c>
      <c r="D12" s="7">
        <v>29</v>
      </c>
      <c r="E12" s="7">
        <v>35</v>
      </c>
      <c r="F12" s="7">
        <v>56</v>
      </c>
      <c r="G12" s="67" t="s">
        <v>29</v>
      </c>
      <c r="H12" s="67"/>
      <c r="I12" s="7"/>
      <c r="J12" s="7">
        <v>22</v>
      </c>
      <c r="K12" s="7">
        <v>29</v>
      </c>
      <c r="L12" s="7">
        <v>35</v>
      </c>
      <c r="M12" s="7">
        <v>56</v>
      </c>
      <c r="N12" s="67" t="s">
        <v>29</v>
      </c>
      <c r="P12" s="7"/>
      <c r="Q12" s="7">
        <v>22</v>
      </c>
      <c r="R12" s="7">
        <v>29</v>
      </c>
      <c r="S12" s="7">
        <v>35</v>
      </c>
      <c r="T12" s="7">
        <v>56</v>
      </c>
    </row>
    <row r="13" spans="2:20" x14ac:dyDescent="0.25">
      <c r="B13" s="7" t="str">
        <f>'Calcul par comité'!D2</f>
        <v>MinF</v>
      </c>
      <c r="C13" s="69">
        <f>'Calcul Effectifs Référence'!I4</f>
        <v>5</v>
      </c>
      <c r="D13" s="70">
        <f>'Calcul Effectifs Référence'!J4</f>
        <v>3</v>
      </c>
      <c r="E13" s="70">
        <f>'Calcul Effectifs Référence'!K4</f>
        <v>6</v>
      </c>
      <c r="F13" s="71">
        <f>'Calcul Effectifs Référence'!L4</f>
        <v>4</v>
      </c>
      <c r="G13" s="67">
        <f>SUM(C13:F13)</f>
        <v>18</v>
      </c>
      <c r="H13" s="67"/>
      <c r="I13" s="7" t="str">
        <f>B13</f>
        <v>MinF</v>
      </c>
      <c r="J13" s="69">
        <f>'Calcul par comité'!K4</f>
        <v>3</v>
      </c>
      <c r="K13" s="70">
        <f>'Calcul par comité'!K5</f>
        <v>2</v>
      </c>
      <c r="L13" s="70">
        <f>'Calcul par comité'!K6</f>
        <v>4</v>
      </c>
      <c r="M13" s="71">
        <f>'Calcul par comité'!K7</f>
        <v>3</v>
      </c>
      <c r="N13" s="67">
        <f>SUM(J13:M13)</f>
        <v>12</v>
      </c>
      <c r="P13" s="7" t="str">
        <f>I13</f>
        <v>MinF</v>
      </c>
      <c r="Q13" s="9">
        <f t="shared" ref="Q13:T18" si="4">IF(C13=0,"-",IF(J13&gt;C13,1,J13/C13))</f>
        <v>0.6</v>
      </c>
      <c r="R13" s="10">
        <f t="shared" si="4"/>
        <v>0.66666666666666663</v>
      </c>
      <c r="S13" s="10">
        <f t="shared" si="4"/>
        <v>0.66666666666666663</v>
      </c>
      <c r="T13" s="11">
        <f t="shared" si="4"/>
        <v>0.75</v>
      </c>
    </row>
    <row r="14" spans="2:20" x14ac:dyDescent="0.25">
      <c r="B14" s="7" t="str">
        <f>'Calcul par comité'!D9</f>
        <v>BenF</v>
      </c>
      <c r="C14" s="72">
        <f>'Calcul Effectifs Référence'!I6</f>
        <v>6</v>
      </c>
      <c r="D14" s="68">
        <f>'Calcul Effectifs Référence'!J6</f>
        <v>4</v>
      </c>
      <c r="E14" s="68">
        <f>'Calcul Effectifs Référence'!K6</f>
        <v>12</v>
      </c>
      <c r="F14" s="73">
        <f>'Calcul Effectifs Référence'!L6</f>
        <v>6</v>
      </c>
      <c r="G14" s="67">
        <f>SUM(C14:F14)</f>
        <v>28</v>
      </c>
      <c r="H14" s="67"/>
      <c r="I14" s="7" t="str">
        <f>B14</f>
        <v>BenF</v>
      </c>
      <c r="J14" s="72">
        <f>'Calcul par comité'!K11</f>
        <v>3</v>
      </c>
      <c r="K14" s="68">
        <f>'Calcul par comité'!K12</f>
        <v>2</v>
      </c>
      <c r="L14" s="68">
        <f>'Calcul par comité'!K13</f>
        <v>4</v>
      </c>
      <c r="M14" s="73">
        <f>'Calcul par comité'!K14</f>
        <v>3</v>
      </c>
      <c r="N14" s="67">
        <f>SUM(J14:M14)</f>
        <v>12</v>
      </c>
      <c r="P14" s="7" t="str">
        <f>I14</f>
        <v>BenF</v>
      </c>
      <c r="Q14" s="12">
        <f t="shared" si="4"/>
        <v>0.5</v>
      </c>
      <c r="R14" s="13">
        <f t="shared" si="4"/>
        <v>0.5</v>
      </c>
      <c r="S14" s="13">
        <f t="shared" si="4"/>
        <v>0.33333333333333331</v>
      </c>
      <c r="T14" s="14">
        <f t="shared" si="4"/>
        <v>0.5</v>
      </c>
    </row>
    <row r="15" spans="2:20" x14ac:dyDescent="0.25">
      <c r="B15" s="7" t="str">
        <f>'Calcul par comité'!D16</f>
        <v>PupF</v>
      </c>
      <c r="C15" s="72">
        <f>'Calcul Effectifs Référence'!I8</f>
        <v>2</v>
      </c>
      <c r="D15" s="68">
        <f>'Calcul Effectifs Référence'!J8</f>
        <v>5</v>
      </c>
      <c r="E15" s="68">
        <f>'Calcul Effectifs Référence'!K8</f>
        <v>14</v>
      </c>
      <c r="F15" s="73">
        <f>'Calcul Effectifs Référence'!L8</f>
        <v>6</v>
      </c>
      <c r="G15" s="67">
        <f>SUM(C15:F15)</f>
        <v>27</v>
      </c>
      <c r="H15" s="67"/>
      <c r="I15" s="7" t="str">
        <f>B15</f>
        <v>PupF</v>
      </c>
      <c r="J15" s="72">
        <f>'Calcul par comité'!K18</f>
        <v>2</v>
      </c>
      <c r="K15" s="68">
        <f>'Calcul par comité'!K19</f>
        <v>2</v>
      </c>
      <c r="L15" s="68">
        <f>'Calcul par comité'!K20</f>
        <v>4</v>
      </c>
      <c r="M15" s="73">
        <f>'Calcul par comité'!K21</f>
        <v>2</v>
      </c>
      <c r="N15" s="67">
        <f>SUM(J15:M15)</f>
        <v>10</v>
      </c>
      <c r="P15" s="7" t="str">
        <f>I15</f>
        <v>PupF</v>
      </c>
      <c r="Q15" s="12">
        <f t="shared" si="4"/>
        <v>1</v>
      </c>
      <c r="R15" s="13">
        <f t="shared" si="4"/>
        <v>0.4</v>
      </c>
      <c r="S15" s="13">
        <f t="shared" si="4"/>
        <v>0.2857142857142857</v>
      </c>
      <c r="T15" s="14">
        <f t="shared" si="4"/>
        <v>0.33333333333333331</v>
      </c>
    </row>
    <row r="16" spans="2:20" x14ac:dyDescent="0.25">
      <c r="B16" s="7" t="str">
        <f>'Calcul par comité'!D23</f>
        <v>PouF</v>
      </c>
      <c r="C16" s="72">
        <f>'Calcul Effectifs Référence'!I10</f>
        <v>6</v>
      </c>
      <c r="D16" s="68">
        <f>'Calcul Effectifs Référence'!J10</f>
        <v>2</v>
      </c>
      <c r="E16" s="68">
        <f>'Calcul Effectifs Référence'!K10</f>
        <v>10</v>
      </c>
      <c r="F16" s="73">
        <f>'Calcul Effectifs Référence'!L10</f>
        <v>9</v>
      </c>
      <c r="G16" s="67">
        <f>SUM(C16:F16)</f>
        <v>27</v>
      </c>
      <c r="H16" s="67"/>
      <c r="I16" s="7" t="str">
        <f>B16</f>
        <v>PouF</v>
      </c>
      <c r="J16" s="72">
        <f>'Calcul par comité'!K25</f>
        <v>3</v>
      </c>
      <c r="K16" s="68">
        <f>'Calcul par comité'!K26</f>
        <v>2</v>
      </c>
      <c r="L16" s="68">
        <f>'Calcul par comité'!K27</f>
        <v>4</v>
      </c>
      <c r="M16" s="73">
        <f>'Calcul par comité'!K28</f>
        <v>3</v>
      </c>
      <c r="N16" s="67">
        <f>SUM(J16:M16)</f>
        <v>12</v>
      </c>
      <c r="P16" s="7" t="str">
        <f>I16</f>
        <v>PouF</v>
      </c>
      <c r="Q16" s="12">
        <f t="shared" si="4"/>
        <v>0.5</v>
      </c>
      <c r="R16" s="13">
        <f t="shared" si="4"/>
        <v>1</v>
      </c>
      <c r="S16" s="13">
        <f t="shared" si="4"/>
        <v>0.4</v>
      </c>
      <c r="T16" s="14">
        <f t="shared" si="4"/>
        <v>0.33333333333333331</v>
      </c>
    </row>
    <row r="17" spans="2:20" ht="15.75" thickBot="1" x14ac:dyDescent="0.3">
      <c r="B17" s="7" t="str">
        <f>'Calcul par comité'!D30</f>
        <v>PpoF</v>
      </c>
      <c r="C17" s="74">
        <f>'Calcul Effectifs Référence'!I12</f>
        <v>0</v>
      </c>
      <c r="D17" s="75">
        <f>'Calcul Effectifs Référence'!J12</f>
        <v>0</v>
      </c>
      <c r="E17" s="75">
        <f>'Calcul Effectifs Référence'!K12</f>
        <v>4</v>
      </c>
      <c r="F17" s="76">
        <f>'Calcul Effectifs Référence'!L12</f>
        <v>1</v>
      </c>
      <c r="G17" s="67">
        <f>SUM(C17:F17)</f>
        <v>5</v>
      </c>
      <c r="H17" s="67"/>
      <c r="I17" s="7" t="str">
        <f>B17</f>
        <v>PpoF</v>
      </c>
      <c r="J17" s="74">
        <f>'Calcul par comité'!K32</f>
        <v>2</v>
      </c>
      <c r="K17" s="75">
        <f>'Calcul par comité'!K33</f>
        <v>2</v>
      </c>
      <c r="L17" s="75">
        <f>'Calcul par comité'!K34</f>
        <v>6</v>
      </c>
      <c r="M17" s="76">
        <f>'Calcul par comité'!K35</f>
        <v>2</v>
      </c>
      <c r="N17" s="67">
        <f>SUM(J17:M17)</f>
        <v>12</v>
      </c>
      <c r="P17" s="7" t="str">
        <f>I17</f>
        <v>PpoF</v>
      </c>
      <c r="Q17" s="15" t="str">
        <f t="shared" si="4"/>
        <v>-</v>
      </c>
      <c r="R17" s="16" t="str">
        <f t="shared" si="4"/>
        <v>-</v>
      </c>
      <c r="S17" s="16">
        <f t="shared" si="4"/>
        <v>1</v>
      </c>
      <c r="T17" s="17">
        <f t="shared" si="4"/>
        <v>1</v>
      </c>
    </row>
    <row r="18" spans="2:20" x14ac:dyDescent="0.25">
      <c r="B18" s="7" t="s">
        <v>29</v>
      </c>
      <c r="C18" s="7">
        <f>SUM(C13:C17)</f>
        <v>19</v>
      </c>
      <c r="D18" s="7">
        <f>SUM(D13:D17)</f>
        <v>14</v>
      </c>
      <c r="E18" s="7">
        <f>SUM(E13:E17)</f>
        <v>46</v>
      </c>
      <c r="F18" s="7">
        <f>SUM(F13:F17)</f>
        <v>26</v>
      </c>
      <c r="G18" s="7"/>
      <c r="H18" s="7"/>
      <c r="I18" s="7"/>
      <c r="J18" s="7">
        <f>SUM(J13:J17)</f>
        <v>13</v>
      </c>
      <c r="K18" s="7">
        <f>SUM(K13:K17)</f>
        <v>10</v>
      </c>
      <c r="L18" s="7">
        <f>SUM(L13:L17)</f>
        <v>22</v>
      </c>
      <c r="M18" s="7">
        <f>SUM(M13:M17)</f>
        <v>13</v>
      </c>
      <c r="N18" s="7"/>
      <c r="O18" s="7"/>
      <c r="P18" s="7"/>
      <c r="Q18" s="8">
        <f t="shared" si="4"/>
        <v>0.68421052631578949</v>
      </c>
      <c r="R18" s="8">
        <f t="shared" si="4"/>
        <v>0.7142857142857143</v>
      </c>
      <c r="S18" s="8">
        <f t="shared" si="4"/>
        <v>0.47826086956521741</v>
      </c>
      <c r="T18" s="8">
        <f t="shared" si="4"/>
        <v>0.5</v>
      </c>
    </row>
    <row r="19" spans="2:20" x14ac:dyDescent="0.25">
      <c r="G19" s="67"/>
      <c r="H19" s="67"/>
    </row>
    <row r="20" spans="2:20" s="4" customFormat="1" x14ac:dyDescent="0.25">
      <c r="B20" s="104" t="s">
        <v>36</v>
      </c>
      <c r="C20" s="104"/>
      <c r="D20" s="104"/>
      <c r="E20" s="104"/>
      <c r="F20" s="104"/>
      <c r="G20" s="104"/>
      <c r="H20" s="22"/>
      <c r="I20" s="104" t="s">
        <v>30</v>
      </c>
      <c r="J20" s="104"/>
      <c r="K20" s="104"/>
      <c r="L20" s="104"/>
      <c r="M20" s="104"/>
      <c r="N20" s="104"/>
      <c r="O20" s="22"/>
      <c r="Q20" s="104" t="s">
        <v>31</v>
      </c>
      <c r="R20" s="104"/>
      <c r="S20" s="104"/>
      <c r="T20" s="104"/>
    </row>
    <row r="21" spans="2:20" ht="15.75" thickBot="1" x14ac:dyDescent="0.3">
      <c r="C21" s="7">
        <v>22</v>
      </c>
      <c r="D21" s="7">
        <v>29</v>
      </c>
      <c r="E21" s="7">
        <v>35</v>
      </c>
      <c r="F21" s="7">
        <v>56</v>
      </c>
      <c r="G21" s="67" t="s">
        <v>29</v>
      </c>
      <c r="H21" s="67"/>
      <c r="I21" s="7"/>
      <c r="J21" s="7">
        <v>22</v>
      </c>
      <c r="K21" s="7">
        <v>29</v>
      </c>
      <c r="L21" s="7">
        <v>35</v>
      </c>
      <c r="M21" s="7">
        <v>56</v>
      </c>
      <c r="N21" s="67" t="s">
        <v>29</v>
      </c>
      <c r="P21" s="7"/>
      <c r="Q21" s="7">
        <v>22</v>
      </c>
      <c r="R21" s="7">
        <v>29</v>
      </c>
      <c r="S21" s="7">
        <v>35</v>
      </c>
      <c r="T21" s="7">
        <v>56</v>
      </c>
    </row>
    <row r="22" spans="2:20" x14ac:dyDescent="0.25">
      <c r="B22" s="7" t="str">
        <f>'Calcul par comité'!D37</f>
        <v>MinM</v>
      </c>
      <c r="C22" s="69">
        <f>'Calcul Effectifs Référence'!I17</f>
        <v>16</v>
      </c>
      <c r="D22" s="70">
        <f>'Calcul Effectifs Référence'!J17</f>
        <v>20</v>
      </c>
      <c r="E22" s="70">
        <f>'Calcul Effectifs Référence'!K17</f>
        <v>39</v>
      </c>
      <c r="F22" s="71">
        <f>'Calcul Effectifs Référence'!L17</f>
        <v>17</v>
      </c>
      <c r="G22" s="67">
        <f>SUM(C22:F22)</f>
        <v>92</v>
      </c>
      <c r="H22" s="67"/>
      <c r="I22" s="7" t="str">
        <f>B22</f>
        <v>MinM</v>
      </c>
      <c r="J22" s="69">
        <f>'Calcul par comité'!K39</f>
        <v>4</v>
      </c>
      <c r="K22" s="70">
        <f>'Calcul par comité'!K40</f>
        <v>5</v>
      </c>
      <c r="L22" s="70">
        <f>'Calcul par comité'!K41</f>
        <v>10</v>
      </c>
      <c r="M22" s="71">
        <f>'Calcul par comité'!K42</f>
        <v>5</v>
      </c>
      <c r="N22" s="67">
        <f>SUM(J22:M22)</f>
        <v>24</v>
      </c>
      <c r="P22" s="7" t="str">
        <f>I22</f>
        <v>MinM</v>
      </c>
      <c r="Q22" s="9">
        <f t="shared" ref="Q22:T27" si="5">IF(C22=0,"-",IF(J22&gt;C22,1,J22/C22))</f>
        <v>0.25</v>
      </c>
      <c r="R22" s="10">
        <f t="shared" si="5"/>
        <v>0.25</v>
      </c>
      <c r="S22" s="10">
        <f t="shared" si="5"/>
        <v>0.25641025641025639</v>
      </c>
      <c r="T22" s="11">
        <f t="shared" si="5"/>
        <v>0.29411764705882354</v>
      </c>
    </row>
    <row r="23" spans="2:20" x14ac:dyDescent="0.25">
      <c r="B23" s="7" t="str">
        <f>'Calcul par comité'!D44</f>
        <v>BenM</v>
      </c>
      <c r="C23" s="72">
        <f>'Calcul Effectifs Référence'!I19</f>
        <v>23</v>
      </c>
      <c r="D23" s="68">
        <f>'Calcul Effectifs Référence'!J19</f>
        <v>25</v>
      </c>
      <c r="E23" s="68">
        <f>'Calcul Effectifs Référence'!K19</f>
        <v>43</v>
      </c>
      <c r="F23" s="73">
        <f>'Calcul Effectifs Référence'!L19</f>
        <v>30</v>
      </c>
      <c r="G23" s="67">
        <f>SUM(C23:F23)</f>
        <v>121</v>
      </c>
      <c r="H23" s="67"/>
      <c r="I23" s="7" t="str">
        <f>B23</f>
        <v>BenM</v>
      </c>
      <c r="J23" s="72">
        <f>'Calcul par comité'!K46</f>
        <v>5</v>
      </c>
      <c r="K23" s="68">
        <f>'Calcul par comité'!K47</f>
        <v>5</v>
      </c>
      <c r="L23" s="68">
        <f>'Calcul par comité'!K48</f>
        <v>8</v>
      </c>
      <c r="M23" s="73">
        <f>'Calcul par comité'!K49</f>
        <v>6</v>
      </c>
      <c r="N23" s="67">
        <f>SUM(J23:M23)</f>
        <v>24</v>
      </c>
      <c r="P23" s="7" t="str">
        <f>I23</f>
        <v>BenM</v>
      </c>
      <c r="Q23" s="12">
        <f t="shared" si="5"/>
        <v>0.21739130434782608</v>
      </c>
      <c r="R23" s="13">
        <f t="shared" si="5"/>
        <v>0.2</v>
      </c>
      <c r="S23" s="13">
        <f t="shared" si="5"/>
        <v>0.18604651162790697</v>
      </c>
      <c r="T23" s="14">
        <f t="shared" si="5"/>
        <v>0.2</v>
      </c>
    </row>
    <row r="24" spans="2:20" x14ac:dyDescent="0.25">
      <c r="B24" s="7" t="str">
        <f>'Calcul par comité'!D51</f>
        <v>PupM</v>
      </c>
      <c r="C24" s="72">
        <f>'Calcul Effectifs Référence'!I21</f>
        <v>20</v>
      </c>
      <c r="D24" s="68">
        <f>'Calcul Effectifs Référence'!J21</f>
        <v>31</v>
      </c>
      <c r="E24" s="68">
        <f>'Calcul Effectifs Référence'!K21</f>
        <v>65</v>
      </c>
      <c r="F24" s="73">
        <f>'Calcul Effectifs Référence'!L21</f>
        <v>49</v>
      </c>
      <c r="G24" s="67">
        <f>SUM(C24:F24)</f>
        <v>165</v>
      </c>
      <c r="H24" s="67"/>
      <c r="I24" s="7" t="str">
        <f>B24</f>
        <v>PupM</v>
      </c>
      <c r="J24" s="72">
        <f>'Calcul par comité'!K53</f>
        <v>3</v>
      </c>
      <c r="K24" s="68">
        <f>'Calcul par comité'!K54</f>
        <v>5</v>
      </c>
      <c r="L24" s="68">
        <f>'Calcul par comité'!K55</f>
        <v>9</v>
      </c>
      <c r="M24" s="73">
        <f>'Calcul par comité'!K56</f>
        <v>7</v>
      </c>
      <c r="N24" s="67">
        <f>SUM(J24:M24)</f>
        <v>24</v>
      </c>
      <c r="P24" s="7" t="str">
        <f>I24</f>
        <v>PupM</v>
      </c>
      <c r="Q24" s="12">
        <f t="shared" si="5"/>
        <v>0.15</v>
      </c>
      <c r="R24" s="13">
        <f t="shared" si="5"/>
        <v>0.16129032258064516</v>
      </c>
      <c r="S24" s="13">
        <f t="shared" si="5"/>
        <v>0.13846153846153847</v>
      </c>
      <c r="T24" s="14">
        <f t="shared" si="5"/>
        <v>0.14285714285714285</v>
      </c>
    </row>
    <row r="25" spans="2:20" x14ac:dyDescent="0.25">
      <c r="B25" s="7" t="str">
        <f>'Calcul par comité'!D58</f>
        <v>PouM</v>
      </c>
      <c r="C25" s="72">
        <f>'Calcul Effectifs Référence'!I23</f>
        <v>15</v>
      </c>
      <c r="D25" s="68">
        <f>'Calcul Effectifs Référence'!J23</f>
        <v>13</v>
      </c>
      <c r="E25" s="68">
        <f>'Calcul Effectifs Référence'!K23</f>
        <v>41</v>
      </c>
      <c r="F25" s="73">
        <f>'Calcul Effectifs Référence'!L23</f>
        <v>34</v>
      </c>
      <c r="G25" s="67">
        <f>SUM(C25:F25)</f>
        <v>103</v>
      </c>
      <c r="H25" s="67"/>
      <c r="I25" s="7" t="str">
        <f>B25</f>
        <v>PouM</v>
      </c>
      <c r="J25" s="72">
        <f>'Calcul par comité'!K60</f>
        <v>3</v>
      </c>
      <c r="K25" s="68">
        <f>'Calcul par comité'!K61</f>
        <v>3</v>
      </c>
      <c r="L25" s="68">
        <f>'Calcul par comité'!K62</f>
        <v>8</v>
      </c>
      <c r="M25" s="73">
        <f>'Calcul par comité'!K63</f>
        <v>7</v>
      </c>
      <c r="N25" s="67">
        <f>SUM(J25:M25)</f>
        <v>21</v>
      </c>
      <c r="P25" s="7" t="str">
        <f>I25</f>
        <v>PouM</v>
      </c>
      <c r="Q25" s="12">
        <f t="shared" si="5"/>
        <v>0.2</v>
      </c>
      <c r="R25" s="13">
        <f t="shared" si="5"/>
        <v>0.23076923076923078</v>
      </c>
      <c r="S25" s="13">
        <f t="shared" si="5"/>
        <v>0.1951219512195122</v>
      </c>
      <c r="T25" s="14">
        <f t="shared" si="5"/>
        <v>0.20588235294117646</v>
      </c>
    </row>
    <row r="26" spans="2:20" ht="15.75" thickBot="1" x14ac:dyDescent="0.3">
      <c r="B26" s="7" t="str">
        <f>'Calcul par comité'!D65</f>
        <v>PpoM</v>
      </c>
      <c r="C26" s="74">
        <f>'Calcul Effectifs Référence'!I25</f>
        <v>4</v>
      </c>
      <c r="D26" s="75">
        <f>'Calcul Effectifs Référence'!J25</f>
        <v>3</v>
      </c>
      <c r="E26" s="75">
        <f>'Calcul Effectifs Référence'!K25</f>
        <v>8</v>
      </c>
      <c r="F26" s="76">
        <f>'Calcul Effectifs Référence'!L25</f>
        <v>8</v>
      </c>
      <c r="G26" s="67">
        <f>SUM(C26:F26)</f>
        <v>23</v>
      </c>
      <c r="H26" s="67"/>
      <c r="I26" s="7" t="str">
        <f>B26</f>
        <v>PpoM</v>
      </c>
      <c r="J26" s="74">
        <f>'Calcul par comité'!K67</f>
        <v>2</v>
      </c>
      <c r="K26" s="75">
        <f>'Calcul par comité'!K68</f>
        <v>2</v>
      </c>
      <c r="L26" s="75">
        <f>'Calcul par comité'!K69</f>
        <v>3</v>
      </c>
      <c r="M26" s="76">
        <f>'Calcul par comité'!K70</f>
        <v>3</v>
      </c>
      <c r="N26" s="67">
        <f>SUM(J26:M26)</f>
        <v>10</v>
      </c>
      <c r="P26" s="7" t="str">
        <f>I26</f>
        <v>PpoM</v>
      </c>
      <c r="Q26" s="15">
        <f t="shared" si="5"/>
        <v>0.5</v>
      </c>
      <c r="R26" s="16">
        <f t="shared" si="5"/>
        <v>0.66666666666666663</v>
      </c>
      <c r="S26" s="16">
        <f t="shared" si="5"/>
        <v>0.375</v>
      </c>
      <c r="T26" s="17">
        <f t="shared" si="5"/>
        <v>0.375</v>
      </c>
    </row>
    <row r="27" spans="2:20" x14ac:dyDescent="0.25">
      <c r="B27" s="7" t="s">
        <v>29</v>
      </c>
      <c r="C27" s="7">
        <f>SUM(C22:C26)</f>
        <v>78</v>
      </c>
      <c r="D27" s="7">
        <f>SUM(D22:D26)</f>
        <v>92</v>
      </c>
      <c r="E27" s="7">
        <f>SUM(E22:E26)</f>
        <v>196</v>
      </c>
      <c r="F27" s="7">
        <f>SUM(F22:F26)</f>
        <v>138</v>
      </c>
      <c r="G27" s="7"/>
      <c r="H27" s="7"/>
      <c r="I27" s="7"/>
      <c r="J27" s="7">
        <f>SUM(J22:J26)</f>
        <v>17</v>
      </c>
      <c r="K27" s="7">
        <f>SUM(K22:K26)</f>
        <v>20</v>
      </c>
      <c r="L27" s="7">
        <f>SUM(L22:L26)</f>
        <v>38</v>
      </c>
      <c r="M27" s="7">
        <f>SUM(M22:M26)</f>
        <v>28</v>
      </c>
      <c r="N27" s="7"/>
      <c r="O27" s="7"/>
      <c r="P27" s="7"/>
      <c r="Q27" s="8">
        <f t="shared" si="5"/>
        <v>0.21794871794871795</v>
      </c>
      <c r="R27" s="8">
        <f t="shared" si="5"/>
        <v>0.21739130434782608</v>
      </c>
      <c r="S27" s="8">
        <f t="shared" si="5"/>
        <v>0.19387755102040816</v>
      </c>
      <c r="T27" s="8">
        <f t="shared" si="5"/>
        <v>0.20289855072463769</v>
      </c>
    </row>
  </sheetData>
  <mergeCells count="8">
    <mergeCell ref="Q20:T20"/>
    <mergeCell ref="C2:F2"/>
    <mergeCell ref="J2:M2"/>
    <mergeCell ref="Q11:T11"/>
    <mergeCell ref="B11:G11"/>
    <mergeCell ref="I11:N11"/>
    <mergeCell ref="B20:G20"/>
    <mergeCell ref="I20:N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Extraction Effectifs 20180831</vt:lpstr>
      <vt:lpstr>Calcul Effectifs Référence</vt:lpstr>
      <vt:lpstr>Places France jeunes</vt:lpstr>
      <vt:lpstr>Calcul Places disponibles</vt:lpstr>
      <vt:lpstr>Calcul par comité</vt:lpstr>
      <vt:lpstr>Synthèse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2019-06-16T03:23:55Z</dcterms:modified>
</cp:coreProperties>
</file>